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01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<sst xmlns="http://schemas.openxmlformats.org/spreadsheetml/2006/main" count="11529" uniqueCount="2433">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</sst>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82" xfId="0" applyNumberFormat="1" applyFont="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109310" y="495359"/>
          <a:ext cx="5590744" cy="135306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0714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09702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572450"/>
              <a:ext cx="1651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39738300"/>
              <a:ext cx="1651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785850"/>
              <a:ext cx="1651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006287"/>
              <a:ext cx="165100" cy="9639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458150"/>
              <a:ext cx="165100"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075900"/>
              <a:ext cx="165100"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59842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095700"/>
              <a:ext cx="165100" cy="27158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31943" y="181309"/>
          <a:ext cx="4163945"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0970200"/>
              <a:ext cx="1651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3770550"/>
              <a:ext cx="19685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3770550"/>
              <a:ext cx="19685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84540" y="164576"/>
          <a:ext cx="6331385" cy="35533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Normal="100" zoomScaleSheetLayoutView="100" workbookViewId="0"/>
  </sheetViews>
  <sheetFormatPr defaultColWidth="9" defaultRowHeight="20.149999999999999" customHeight="1"/>
  <cols>
    <col min="1" max="1" width="4.6328125" style="175" customWidth="1"/>
    <col min="2" max="2" width="11" style="175" customWidth="1"/>
    <col min="3" max="22" width="2.6328125" style="175" customWidth="1"/>
    <col min="23" max="23" width="12.6328125" style="175" customWidth="1"/>
    <col min="24" max="24" width="25" style="175" customWidth="1"/>
    <col min="25" max="25" width="22.453125" style="175" customWidth="1"/>
    <col min="26" max="28" width="21.90625" style="175" customWidth="1"/>
    <col min="29" max="29" width="14.6328125" style="175" bestFit="1" customWidth="1"/>
    <col min="30" max="30" width="4.6328125" style="175" customWidth="1"/>
    <col min="31" max="31" width="9" style="175" hidden="1" customWidth="1"/>
    <col min="32" max="33" width="9" style="175" customWidth="1"/>
    <col min="34" max="16384" width="9" style="175"/>
  </cols>
  <sheetData>
    <row r="1" spans="1:29" ht="20.149999999999999" customHeight="1">
      <c r="A1" s="435" t="s">
        <v>2417</v>
      </c>
    </row>
    <row r="2" spans="1:29" ht="9" customHeight="1">
      <c r="A2" s="392"/>
    </row>
    <row r="3" spans="1:29" ht="20.149999999999999"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2431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49999999999999"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49999999999999"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49999999999999"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49999999999999"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49999999999999"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49999999999999"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49999999999999"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49999999999999"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49999999999999"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49999999999999"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49999999999999"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49999999999999"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49999999999999"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49999999999999"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49999999999999"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49999999999999"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49999999999999"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49999999999999"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49999999999999"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49999999999999"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49999999999999"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49999999999999"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49999999999999"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49999999999999"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49999999999999" customHeight="1">
      <c r="A50" s="206"/>
      <c r="B50" s="436" t="s">
        <v>2341</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2308</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2418</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2418</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2419</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2421</v>
      </c>
      <c r="N57" s="697"/>
      <c r="O57" s="697"/>
      <c r="P57" s="697"/>
      <c r="Q57" s="698"/>
      <c r="R57" s="696" t="s">
        <v>171</v>
      </c>
      <c r="S57" s="697"/>
      <c r="T57" s="697"/>
      <c r="U57" s="697"/>
      <c r="V57" s="698"/>
      <c r="W57" s="162" t="s">
        <v>2422</v>
      </c>
      <c r="X57" s="19" t="s">
        <v>2420</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2423</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2423</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2423</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64:Q64"/>
    <mergeCell ref="M65:Q65"/>
    <mergeCell ref="M42:X42"/>
    <mergeCell ref="M43:X43"/>
    <mergeCell ref="M63:Q63"/>
    <mergeCell ref="M59:Q59"/>
    <mergeCell ref="M60:Q60"/>
    <mergeCell ref="M66:Q66"/>
    <mergeCell ref="R120:V120"/>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Normal="120" zoomScaleSheetLayoutView="100" zoomScalePageLayoutView="64" workbookViewId="0"/>
  </sheetViews>
  <sheetFormatPr defaultColWidth="9" defaultRowHeight="13"/>
  <cols>
    <col min="1" max="1" width="2.08984375" style="175" customWidth="1"/>
    <col min="2" max="2" width="3.08984375" style="175" customWidth="1"/>
    <col min="3" max="7" width="2.6328125" style="175" customWidth="1"/>
    <col min="8" max="36" width="2.453125" style="175" customWidth="1"/>
    <col min="37" max="37" width="2.90625" style="175" customWidth="1"/>
    <col min="38" max="38" width="2.453125" style="175" customWidth="1"/>
    <col min="39" max="39" width="6.90625" style="175" customWidth="1"/>
    <col min="40" max="43" width="5.36328125" style="175" customWidth="1"/>
    <col min="44" max="44" width="7.36328125" style="175" customWidth="1"/>
    <col min="45" max="48" width="5.36328125" style="175" customWidth="1"/>
    <col min="49" max="51" width="5.453125" style="175" customWidth="1"/>
    <col min="52" max="52" width="5.90625" style="175" customWidth="1"/>
    <col min="53" max="53" width="6" style="175" customWidth="1"/>
    <col min="54" max="54" width="5.6328125" style="175" customWidth="1"/>
    <col min="55" max="63" width="4.0898437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○○市</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2117</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○○ケアサービス</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○○ケアサービス</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100－1234</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東京都千代田区霞が関 1－2－2</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○○ビル 18F</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コウロウ タロウ</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厚労 太郎</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03-3571-XXXX</v>
      </c>
      <c r="M13" s="1101"/>
      <c r="N13" s="1101"/>
      <c r="O13" s="1101"/>
      <c r="P13" s="1101"/>
      <c r="Q13" s="1101"/>
      <c r="R13" s="1101"/>
      <c r="S13" s="1101"/>
      <c r="T13" s="1101"/>
      <c r="U13" s="1102"/>
      <c r="V13" s="1103" t="s">
        <v>73</v>
      </c>
      <c r="W13" s="1104"/>
      <c r="X13" s="1104"/>
      <c r="Y13" s="1093"/>
      <c r="Z13" s="1100" t="str">
        <f>IF(基本情報入力シート!M47="","",基本情報入力シート!M47)</f>
        <v>aaa@aaa.aa.jp</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2244</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2225</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50697843</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91" t="s">
        <v>2243</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91" t="s">
        <v>2241</v>
      </c>
      <c r="F20" s="791"/>
      <c r="G20" s="791"/>
      <c r="H20" s="791"/>
      <c r="I20" s="791"/>
      <c r="J20" s="791"/>
      <c r="K20" s="791"/>
      <c r="L20" s="791"/>
      <c r="M20" s="791"/>
      <c r="N20" s="791"/>
      <c r="O20" s="791"/>
      <c r="P20" s="995"/>
      <c r="Q20" s="1005">
        <v>4799515</v>
      </c>
      <c r="R20" s="1006"/>
      <c r="S20" s="1006"/>
      <c r="T20" s="1006"/>
      <c r="U20" s="1006"/>
      <c r="V20" s="1007"/>
      <c r="W20" s="199" t="s">
        <v>1</v>
      </c>
      <c r="X20" s="174" t="s">
        <v>167</v>
      </c>
      <c r="Y20" s="200" t="str">
        <f>IF(Q20&gt;Q19,"×","")</f>
        <v/>
      </c>
      <c r="Z20" s="172"/>
      <c r="AA20" s="172"/>
      <c r="AB20" s="172"/>
      <c r="AC20" s="172"/>
      <c r="AD20" s="172"/>
      <c r="AE20" s="172"/>
      <c r="AF20" s="172"/>
      <c r="AG20" s="172"/>
      <c r="AH20" s="172"/>
      <c r="AI20" s="172"/>
      <c r="AJ20" s="172"/>
      <c r="AK20" s="172"/>
      <c r="AL20" s="172"/>
      <c r="AM20" s="1105" t="s">
        <v>2277</v>
      </c>
      <c r="AN20" s="1106"/>
      <c r="AO20" s="1106"/>
      <c r="AP20" s="1106"/>
      <c r="AQ20" s="1106"/>
      <c r="AR20" s="1106"/>
      <c r="AS20" s="1106"/>
      <c r="AT20" s="1106"/>
      <c r="AU20" s="1106"/>
      <c r="AV20" s="1106"/>
      <c r="AW20" s="1106"/>
      <c r="AX20" s="1106"/>
      <c r="AY20" s="1107"/>
    </row>
    <row r="21" spans="1:51" ht="28.5" customHeight="1" thickBot="1">
      <c r="A21" s="172"/>
      <c r="B21" s="201" t="s">
        <v>9</v>
      </c>
      <c r="C21" s="791" t="s">
        <v>2315</v>
      </c>
      <c r="D21" s="1095"/>
      <c r="E21" s="1095"/>
      <c r="F21" s="1095"/>
      <c r="G21" s="1095"/>
      <c r="H21" s="1095"/>
      <c r="I21" s="1095"/>
      <c r="J21" s="1095"/>
      <c r="K21" s="1095"/>
      <c r="L21" s="1095"/>
      <c r="M21" s="1095"/>
      <c r="N21" s="1095"/>
      <c r="O21" s="1095"/>
      <c r="P21" s="1095"/>
      <c r="Q21" s="996">
        <f>Q18-Q20</f>
        <v>45898328</v>
      </c>
      <c r="R21" s="997"/>
      <c r="S21" s="997"/>
      <c r="T21" s="997"/>
      <c r="U21" s="997"/>
      <c r="V21" s="998"/>
      <c r="W21" s="202" t="s">
        <v>1</v>
      </c>
      <c r="X21" s="174" t="s">
        <v>252</v>
      </c>
      <c r="Y21" s="841" t="str">
        <f>IFERROR(IF(Q22&gt;=Q21,"○","×"),"")</f>
        <v>○</v>
      </c>
      <c r="Z21" s="172"/>
      <c r="AA21" s="172"/>
      <c r="AB21" s="172"/>
      <c r="AC21" s="172"/>
      <c r="AD21" s="172"/>
      <c r="AE21" s="172"/>
      <c r="AF21" s="172"/>
      <c r="AG21" s="172"/>
      <c r="AH21" s="172"/>
      <c r="AI21" s="172"/>
      <c r="AJ21" s="172"/>
      <c r="AK21" s="172"/>
      <c r="AL21" s="172"/>
      <c r="AM21" s="795" t="s">
        <v>2392</v>
      </c>
      <c r="AN21" s="793"/>
      <c r="AO21" s="793"/>
      <c r="AP21" s="793"/>
      <c r="AQ21" s="793"/>
      <c r="AR21" s="793"/>
      <c r="AS21" s="793"/>
      <c r="AT21" s="793"/>
      <c r="AU21" s="793"/>
      <c r="AV21" s="793"/>
      <c r="AW21" s="793"/>
      <c r="AX21" s="793"/>
      <c r="AY21" s="794"/>
    </row>
    <row r="22" spans="1:51" ht="30" customHeight="1" thickBot="1">
      <c r="A22" s="172"/>
      <c r="B22" s="201" t="s">
        <v>98</v>
      </c>
      <c r="C22" s="791" t="s">
        <v>2247</v>
      </c>
      <c r="D22" s="791"/>
      <c r="E22" s="791"/>
      <c r="F22" s="791"/>
      <c r="G22" s="791"/>
      <c r="H22" s="791"/>
      <c r="I22" s="791"/>
      <c r="J22" s="791"/>
      <c r="K22" s="791"/>
      <c r="L22" s="791"/>
      <c r="M22" s="791"/>
      <c r="N22" s="791"/>
      <c r="O22" s="791"/>
      <c r="P22" s="791"/>
      <c r="Q22" s="1005">
        <v>46000000</v>
      </c>
      <c r="R22" s="1006"/>
      <c r="S22" s="1006"/>
      <c r="T22" s="1006"/>
      <c r="U22" s="1006"/>
      <c r="V22" s="1007"/>
      <c r="W22" s="203" t="s">
        <v>1</v>
      </c>
      <c r="X22" s="174" t="s">
        <v>252</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2245</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91" t="s">
        <v>2314</v>
      </c>
      <c r="D25" s="791"/>
      <c r="E25" s="791"/>
      <c r="F25" s="791"/>
      <c r="G25" s="791"/>
      <c r="H25" s="791"/>
      <c r="I25" s="791"/>
      <c r="J25" s="791"/>
      <c r="K25" s="791"/>
      <c r="L25" s="791"/>
      <c r="M25" s="791"/>
      <c r="N25" s="791"/>
      <c r="O25" s="791"/>
      <c r="P25" s="792"/>
      <c r="Q25" s="1097">
        <f>Q19-Q20</f>
        <v>15054326</v>
      </c>
      <c r="R25" s="1098"/>
      <c r="S25" s="1098"/>
      <c r="T25" s="1098"/>
      <c r="U25" s="1098"/>
      <c r="V25" s="1098"/>
      <c r="W25" s="193" t="s">
        <v>1</v>
      </c>
      <c r="X25" s="174" t="s">
        <v>167</v>
      </c>
      <c r="Y25" s="1055" t="str">
        <f>IFERROR(IF(Q25&lt;=0,"",IF(Q26&gt;=Q25,"○","×")),"")</f>
        <v>×</v>
      </c>
      <c r="Z25" s="174" t="s">
        <v>2236</v>
      </c>
      <c r="AA25" s="841" t="str">
        <f>IFERROR(IF(Y25="×",IF(Q28&gt;=Q25,"○","×"),""),"")</f>
        <v>○</v>
      </c>
      <c r="AB25" s="172"/>
      <c r="AC25" s="172"/>
      <c r="AD25" s="172"/>
      <c r="AE25" s="172"/>
      <c r="AF25" s="172"/>
      <c r="AG25" s="172"/>
      <c r="AH25" s="172"/>
      <c r="AI25" s="172"/>
      <c r="AJ25" s="172"/>
      <c r="AK25" s="172"/>
      <c r="AL25" s="172"/>
    </row>
    <row r="26" spans="1:51" ht="37.5" customHeight="1" thickBot="1">
      <c r="A26" s="172"/>
      <c r="B26" s="201" t="s">
        <v>2235</v>
      </c>
      <c r="C26" s="791" t="s">
        <v>2340</v>
      </c>
      <c r="D26" s="791"/>
      <c r="E26" s="791"/>
      <c r="F26" s="791"/>
      <c r="G26" s="791"/>
      <c r="H26" s="791"/>
      <c r="I26" s="791"/>
      <c r="J26" s="791"/>
      <c r="K26" s="791"/>
      <c r="L26" s="791"/>
      <c r="M26" s="791"/>
      <c r="N26" s="791"/>
      <c r="O26" s="791"/>
      <c r="P26" s="792"/>
      <c r="Q26" s="1005">
        <v>12000000</v>
      </c>
      <c r="R26" s="1006"/>
      <c r="S26" s="1006"/>
      <c r="T26" s="1006"/>
      <c r="U26" s="1006"/>
      <c r="V26" s="1007"/>
      <c r="W26" s="193" t="s">
        <v>1</v>
      </c>
      <c r="X26" s="174" t="s">
        <v>167</v>
      </c>
      <c r="Y26" s="1056"/>
      <c r="Z26" s="174"/>
      <c r="AA26" s="1051"/>
      <c r="AB26" s="172"/>
      <c r="AC26" s="172"/>
      <c r="AD26" s="172"/>
      <c r="AE26" s="172"/>
      <c r="AF26" s="172"/>
      <c r="AG26" s="172"/>
      <c r="AH26" s="172"/>
      <c r="AI26" s="172"/>
      <c r="AJ26" s="172"/>
      <c r="AK26" s="172"/>
      <c r="AL26" s="172"/>
    </row>
    <row r="27" spans="1:51" ht="26.25" customHeight="1" thickBot="1">
      <c r="A27" s="172"/>
      <c r="B27" s="201" t="s">
        <v>2237</v>
      </c>
      <c r="C27" s="791" t="s">
        <v>2280</v>
      </c>
      <c r="D27" s="791"/>
      <c r="E27" s="791"/>
      <c r="F27" s="791"/>
      <c r="G27" s="791"/>
      <c r="H27" s="791"/>
      <c r="I27" s="791"/>
      <c r="J27" s="791"/>
      <c r="K27" s="791"/>
      <c r="L27" s="791"/>
      <c r="M27" s="791"/>
      <c r="N27" s="791"/>
      <c r="O27" s="791"/>
      <c r="P27" s="792"/>
      <c r="Q27" s="1005">
        <v>3500000</v>
      </c>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2427</v>
      </c>
      <c r="AN27" s="797"/>
      <c r="AO27" s="797"/>
      <c r="AP27" s="797"/>
      <c r="AQ27" s="797"/>
      <c r="AR27" s="797"/>
      <c r="AS27" s="797"/>
      <c r="AT27" s="797"/>
      <c r="AU27" s="797"/>
      <c r="AV27" s="797"/>
      <c r="AW27" s="797"/>
      <c r="AX27" s="797"/>
      <c r="AY27" s="798"/>
    </row>
    <row r="28" spans="1:51" ht="16.5" customHeight="1" thickBot="1">
      <c r="A28" s="172"/>
      <c r="B28" s="201" t="s">
        <v>2246</v>
      </c>
      <c r="C28" s="791" t="s">
        <v>2313</v>
      </c>
      <c r="D28" s="791"/>
      <c r="E28" s="791"/>
      <c r="F28" s="791"/>
      <c r="G28" s="791"/>
      <c r="H28" s="791"/>
      <c r="I28" s="791"/>
      <c r="J28" s="791"/>
      <c r="K28" s="791"/>
      <c r="L28" s="791"/>
      <c r="M28" s="791"/>
      <c r="N28" s="791"/>
      <c r="O28" s="791"/>
      <c r="P28" s="792"/>
      <c r="Q28" s="1048">
        <f>Q26+Q27</f>
        <v>15500000</v>
      </c>
      <c r="R28" s="1049"/>
      <c r="S28" s="1049"/>
      <c r="T28" s="1049"/>
      <c r="U28" s="1049"/>
      <c r="V28" s="1050"/>
      <c r="W28" s="193" t="s">
        <v>1</v>
      </c>
      <c r="X28" s="172"/>
      <c r="Y28" s="172"/>
      <c r="Z28" s="172" t="s">
        <v>2236</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2278</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2281</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2279</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2394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6" t="b">
        <v>1</v>
      </c>
      <c r="C37" s="1127"/>
      <c r="D37" s="1061" t="s">
        <v>169</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167</v>
      </c>
      <c r="AB37" s="200" t="str">
        <f>IFERROR(IF(AM36=TRUE,"○","×"),"")</f>
        <v>○</v>
      </c>
      <c r="AC37" s="174"/>
      <c r="AD37" s="174"/>
      <c r="AE37" s="174"/>
      <c r="AF37" s="174"/>
      <c r="AG37" s="174"/>
      <c r="AH37" s="174"/>
      <c r="AI37" s="174"/>
      <c r="AJ37" s="174"/>
      <c r="AK37" s="174"/>
      <c r="AL37" s="172"/>
      <c r="AM37" s="795" t="s">
        <v>2263</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2289</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278</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2393</v>
      </c>
      <c r="AN42" s="793"/>
      <c r="AO42" s="793"/>
      <c r="AP42" s="793"/>
      <c r="AQ42" s="793"/>
      <c r="AR42" s="793"/>
      <c r="AS42" s="793"/>
      <c r="AT42" s="793"/>
      <c r="AU42" s="793"/>
      <c r="AV42" s="793"/>
      <c r="AW42" s="793"/>
      <c r="AX42" s="793"/>
      <c r="AY42" s="794"/>
    </row>
    <row r="43" spans="1:51" ht="21.75" customHeight="1" thickBot="1">
      <c r="A43" s="172"/>
      <c r="B43" s="1167" t="s">
        <v>257</v>
      </c>
      <c r="C43" s="1168"/>
      <c r="D43" s="1168"/>
      <c r="E43" s="1168"/>
      <c r="F43" s="1168"/>
      <c r="G43" s="1168"/>
      <c r="H43" s="1168"/>
      <c r="I43" s="1168"/>
      <c r="J43" s="1168"/>
      <c r="K43" s="1168"/>
      <c r="L43" s="1168"/>
      <c r="M43" s="1168"/>
      <c r="N43" s="1169"/>
      <c r="O43" s="1158" t="s">
        <v>19</v>
      </c>
      <c r="P43" s="1159"/>
      <c r="Q43" s="1109">
        <v>6</v>
      </c>
      <c r="R43" s="1109"/>
      <c r="S43" s="213" t="s">
        <v>10</v>
      </c>
      <c r="T43" s="1110">
        <v>6</v>
      </c>
      <c r="U43" s="1111"/>
      <c r="V43" s="214" t="s">
        <v>11</v>
      </c>
      <c r="W43" s="1123" t="s">
        <v>12</v>
      </c>
      <c r="X43" s="1123"/>
      <c r="Y43" s="1123" t="s">
        <v>19</v>
      </c>
      <c r="Z43" s="1166"/>
      <c r="AA43" s="1110">
        <v>7</v>
      </c>
      <c r="AB43" s="1111"/>
      <c r="AC43" s="215" t="s">
        <v>10</v>
      </c>
      <c r="AD43" s="1110">
        <v>5</v>
      </c>
      <c r="AE43" s="1111"/>
      <c r="AF43" s="214" t="s">
        <v>11</v>
      </c>
      <c r="AG43" s="214" t="s">
        <v>84</v>
      </c>
      <c r="AH43" s="214">
        <f>IF(Q43&gt;=1,(AA43*12+AD43)-(Q43*12+T43)+1,"")</f>
        <v>12</v>
      </c>
      <c r="AI43" s="1123" t="s">
        <v>85</v>
      </c>
      <c r="AJ43" s="1123"/>
      <c r="AK43" s="216" t="s">
        <v>39</v>
      </c>
      <c r="AL43" s="172"/>
      <c r="AM43" s="205"/>
      <c r="AX43" s="210"/>
    </row>
    <row r="44" spans="1:51" s="183" customFormat="1" ht="25.5" customHeight="1" thickBot="1">
      <c r="A44" s="182"/>
      <c r="B44" s="1160" t="s">
        <v>258</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2271</v>
      </c>
      <c r="AN44" s="793"/>
      <c r="AO44" s="793"/>
      <c r="AP44" s="793"/>
      <c r="AQ44" s="793"/>
      <c r="AR44" s="793"/>
      <c r="AS44" s="793"/>
      <c r="AT44" s="793"/>
      <c r="AU44" s="793"/>
      <c r="AV44" s="793"/>
      <c r="AW44" s="793"/>
      <c r="AX44" s="793"/>
      <c r="AY44" s="794"/>
    </row>
    <row r="45" spans="1:51" s="183" customFormat="1" ht="18.75" customHeight="1" thickBot="1">
      <c r="A45" s="182"/>
      <c r="B45" s="1011" t="s">
        <v>259</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2309</v>
      </c>
      <c r="H46" s="191"/>
      <c r="I46" s="191"/>
      <c r="J46" s="191"/>
      <c r="K46" s="191"/>
      <c r="L46" s="191"/>
      <c r="M46" s="228" t="b">
        <v>1</v>
      </c>
      <c r="N46" s="227" t="s">
        <v>2310</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2271</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t="s">
        <v>2124</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2325</v>
      </c>
      <c r="AR49" s="170" t="b">
        <v>0</v>
      </c>
      <c r="AS49" s="802" t="s">
        <v>2326</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2320</v>
      </c>
      <c r="AO50" s="802"/>
      <c r="AP50" s="802"/>
      <c r="AR50" s="170" t="b">
        <v>1</v>
      </c>
      <c r="AS50" s="802" t="s">
        <v>2327</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2321</v>
      </c>
      <c r="AO51" s="802"/>
      <c r="AP51" s="802"/>
      <c r="AR51" s="170" t="b">
        <v>0</v>
      </c>
      <c r="AS51" s="802" t="s">
        <v>2324</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1</v>
      </c>
      <c r="AN52" s="802" t="s">
        <v>2322</v>
      </c>
      <c r="AO52" s="802"/>
      <c r="AP52" s="802"/>
      <c r="AR52" s="170" t="b">
        <v>1</v>
      </c>
      <c r="AS52" s="802" t="s">
        <v>2328</v>
      </c>
      <c r="AT52" s="802"/>
    </row>
    <row r="53" spans="1:55" s="183" customFormat="1" ht="18.75" customHeight="1">
      <c r="A53" s="182"/>
      <c r="B53" s="1013"/>
      <c r="C53" s="827"/>
      <c r="D53" s="827"/>
      <c r="E53" s="827"/>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02" t="s">
        <v>2323</v>
      </c>
      <c r="AO53" s="802"/>
      <c r="AP53" s="802"/>
      <c r="AQ53" s="175"/>
      <c r="AR53" s="170" t="b">
        <v>0</v>
      </c>
      <c r="AS53" s="802" t="s">
        <v>2329</v>
      </c>
      <c r="AT53" s="802"/>
      <c r="AV53" s="175"/>
      <c r="BC53" s="175"/>
    </row>
    <row r="54" spans="1:55" ht="18.75" customHeight="1">
      <c r="A54" s="172"/>
      <c r="B54" s="1014"/>
      <c r="C54" s="1015"/>
      <c r="D54" s="1015"/>
      <c r="E54" s="1015"/>
      <c r="F54" s="235" t="s">
        <v>86</v>
      </c>
      <c r="G54" s="236"/>
      <c r="H54" s="236"/>
      <c r="I54" s="236"/>
      <c r="J54" s="236"/>
      <c r="K54" s="236"/>
      <c r="L54" s="236"/>
      <c r="M54" s="1016" t="s">
        <v>276</v>
      </c>
      <c r="N54" s="804"/>
      <c r="O54" s="804"/>
      <c r="P54" s="804">
        <v>30</v>
      </c>
      <c r="Q54" s="804"/>
      <c r="R54" s="231" t="s">
        <v>4</v>
      </c>
      <c r="S54" s="804">
        <v>4</v>
      </c>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2324</v>
      </c>
      <c r="AO54" s="802"/>
      <c r="AP54" s="802"/>
      <c r="AR54" s="170" t="b">
        <v>1</v>
      </c>
      <c r="AS54" s="802" t="s">
        <v>2330</v>
      </c>
      <c r="AT54" s="802"/>
    </row>
    <row r="55" spans="1:55" ht="24.75" customHeight="1">
      <c r="A55" s="172"/>
      <c r="B55" s="1068" t="s">
        <v>262</v>
      </c>
      <c r="C55" s="1069"/>
      <c r="D55" s="1069"/>
      <c r="E55" s="1070"/>
      <c r="F55" s="870"/>
      <c r="G55" s="872" t="s">
        <v>260</v>
      </c>
      <c r="H55" s="873"/>
      <c r="I55" s="874"/>
      <c r="J55" s="872" t="s">
        <v>261</v>
      </c>
      <c r="K55" s="873"/>
      <c r="L55" s="873"/>
      <c r="M55" s="1062"/>
      <c r="N55" s="1064" t="s">
        <v>2410</v>
      </c>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2143</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2317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2194</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15763120</v>
      </c>
      <c r="U60" s="1208"/>
      <c r="V60" s="1208"/>
      <c r="W60" s="1208"/>
      <c r="X60" s="1208"/>
      <c r="Y60" s="1209"/>
      <c r="Z60" s="202" t="s">
        <v>1</v>
      </c>
      <c r="AA60" s="191" t="s">
        <v>167</v>
      </c>
      <c r="AB60" s="1055" t="str">
        <f>IFERROR(IF(T61&gt;=T60,"○","×"),"")</f>
        <v>×</v>
      </c>
      <c r="AC60" s="243"/>
      <c r="AD60" s="244"/>
      <c r="AE60" s="244"/>
      <c r="AF60" s="244"/>
      <c r="AG60" s="244"/>
      <c r="AH60" s="244"/>
      <c r="AI60" s="244"/>
      <c r="AJ60" s="244"/>
      <c r="AK60" s="244"/>
      <c r="AL60" s="172"/>
      <c r="AM60" s="796" t="s">
        <v>2318</v>
      </c>
      <c r="AN60" s="797"/>
      <c r="AO60" s="797"/>
      <c r="AP60" s="797"/>
      <c r="AQ60" s="797"/>
      <c r="AR60" s="797"/>
      <c r="AS60" s="797"/>
      <c r="AT60" s="797"/>
      <c r="AU60" s="797"/>
      <c r="AV60" s="797"/>
      <c r="AW60" s="797"/>
      <c r="AX60" s="797"/>
      <c r="AY60" s="798"/>
    </row>
    <row r="61" spans="1:55" ht="27" customHeight="1" thickBot="1">
      <c r="A61" s="172"/>
      <c r="B61" s="242" t="s">
        <v>9</v>
      </c>
      <c r="C61" s="1204" t="s">
        <v>2123</v>
      </c>
      <c r="D61" s="1205"/>
      <c r="E61" s="1205"/>
      <c r="F61" s="1205"/>
      <c r="G61" s="1205"/>
      <c r="H61" s="1205"/>
      <c r="I61" s="1205"/>
      <c r="J61" s="1205"/>
      <c r="K61" s="1205"/>
      <c r="L61" s="1205"/>
      <c r="M61" s="1205"/>
      <c r="N61" s="1205"/>
      <c r="O61" s="1205"/>
      <c r="P61" s="1205"/>
      <c r="Q61" s="1205"/>
      <c r="R61" s="1205"/>
      <c r="S61" s="1206"/>
      <c r="T61" s="1210">
        <v>10000000</v>
      </c>
      <c r="U61" s="1211"/>
      <c r="V61" s="1211"/>
      <c r="W61" s="1211"/>
      <c r="X61" s="1211"/>
      <c r="Y61" s="1212"/>
      <c r="Z61" s="193" t="s">
        <v>1</v>
      </c>
      <c r="AA61" s="191" t="s">
        <v>167</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2400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2371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277</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49" t="s">
        <v>1</v>
      </c>
      <c r="Z67" s="250" t="s">
        <v>2337</v>
      </c>
      <c r="AA67" s="251"/>
      <c r="AB67" s="172"/>
      <c r="AC67" s="172"/>
      <c r="AD67" s="172"/>
      <c r="AE67" s="172"/>
      <c r="AF67" s="172"/>
      <c r="AG67" s="172" t="s">
        <v>167</v>
      </c>
      <c r="AH67" s="252" t="str">
        <f>IF(T68&lt;T67,"×","")</f>
        <v/>
      </c>
      <c r="AI67" s="172"/>
      <c r="AJ67" s="172"/>
      <c r="AK67" s="172"/>
      <c r="AL67" s="172"/>
      <c r="AM67" s="784" t="s">
        <v>2401</v>
      </c>
      <c r="AN67" s="785"/>
      <c r="AO67" s="785"/>
      <c r="AP67" s="785"/>
      <c r="AQ67" s="785"/>
      <c r="AR67" s="785"/>
      <c r="AS67" s="785"/>
      <c r="AT67" s="785"/>
      <c r="AU67" s="785"/>
      <c r="AV67" s="785"/>
      <c r="AW67" s="785"/>
      <c r="AX67" s="785"/>
      <c r="AY67" s="786"/>
    </row>
    <row r="68" spans="1:74" ht="23.25" customHeight="1" thickBot="1">
      <c r="A68" s="172"/>
      <c r="B68" s="1035" t="s">
        <v>2395</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53" t="s">
        <v>1</v>
      </c>
      <c r="Z68" s="172"/>
      <c r="AA68" s="254" t="s">
        <v>24</v>
      </c>
      <c r="AB68" s="843">
        <f>IFERROR(T69/T67*100,0)</f>
        <v>79.361292527671779</v>
      </c>
      <c r="AC68" s="844"/>
      <c r="AD68" s="845"/>
      <c r="AE68" s="255" t="s">
        <v>138</v>
      </c>
      <c r="AF68" s="255" t="s">
        <v>25</v>
      </c>
      <c r="AG68" s="172" t="s">
        <v>252</v>
      </c>
      <c r="AH68" s="200" t="str">
        <f>IF(T67=0,"",(IF(AB68&gt;=200/3,"○","×")))</f>
        <v>○</v>
      </c>
      <c r="AI68" s="238"/>
      <c r="AJ68" s="238"/>
      <c r="AK68" s="238"/>
      <c r="AL68" s="172"/>
      <c r="AM68" s="784" t="s">
        <v>2373</v>
      </c>
      <c r="AN68" s="785"/>
      <c r="AO68" s="785"/>
      <c r="AP68" s="785"/>
      <c r="AQ68" s="785"/>
      <c r="AR68" s="785"/>
      <c r="AS68" s="785"/>
      <c r="AT68" s="785"/>
      <c r="AU68" s="785"/>
      <c r="AV68" s="785"/>
      <c r="AW68" s="785"/>
      <c r="AX68" s="785"/>
      <c r="AY68" s="786"/>
    </row>
    <row r="69" spans="1:74" ht="19.5" customHeight="1" thickBot="1">
      <c r="A69" s="172"/>
      <c r="B69" s="256"/>
      <c r="C69" s="1033" t="s">
        <v>2397</v>
      </c>
      <c r="D69" s="1033"/>
      <c r="E69" s="1033"/>
      <c r="F69" s="1033"/>
      <c r="G69" s="1033"/>
      <c r="H69" s="1033"/>
      <c r="I69" s="1033"/>
      <c r="J69" s="1033"/>
      <c r="K69" s="1033"/>
      <c r="L69" s="1033"/>
      <c r="M69" s="1033"/>
      <c r="N69" s="1033"/>
      <c r="O69" s="1033"/>
      <c r="P69" s="1033"/>
      <c r="Q69" s="1033"/>
      <c r="R69" s="1033"/>
      <c r="S69" s="1033"/>
      <c r="T69" s="1179">
        <v>3260000</v>
      </c>
      <c r="U69" s="1180"/>
      <c r="V69" s="1180"/>
      <c r="W69" s="1180"/>
      <c r="X69" s="1181"/>
      <c r="Y69" s="257" t="s">
        <v>1</v>
      </c>
      <c r="Z69" s="258" t="s">
        <v>2337</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326000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2262</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4" t="s">
        <v>2396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1</v>
      </c>
      <c r="AN74" s="802" t="s">
        <v>2331</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2364</v>
      </c>
      <c r="F75" s="1060"/>
      <c r="G75" s="1060"/>
      <c r="H75" s="1060"/>
      <c r="I75" s="1060"/>
      <c r="J75" s="1060"/>
      <c r="K75" s="1060"/>
      <c r="L75" s="1060"/>
      <c r="M75" s="1060"/>
      <c r="N75" s="1060"/>
      <c r="O75" s="1060"/>
      <c r="P75" s="1060"/>
      <c r="Q75" s="1060"/>
      <c r="R75" s="1060"/>
      <c r="S75" s="1060"/>
      <c r="T75" s="1060"/>
      <c r="U75" s="1060"/>
      <c r="V75" s="1060"/>
      <c r="W75" s="1060"/>
      <c r="X75" s="1061"/>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4" t="s">
        <v>2264</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
      <c r="A77" s="207"/>
      <c r="B77" s="207"/>
      <c r="C77" s="245" t="s">
        <v>2365</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8" t="s">
        <v>2363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2186</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72" t="s">
        <v>1</v>
      </c>
      <c r="AA79" s="191" t="s">
        <v>167</v>
      </c>
      <c r="AB79" s="841"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2158</v>
      </c>
      <c r="D80" s="1185"/>
      <c r="E80" s="1185"/>
      <c r="F80" s="1185"/>
      <c r="G80" s="1185"/>
      <c r="H80" s="1185"/>
      <c r="I80" s="1185"/>
      <c r="J80" s="1185"/>
      <c r="K80" s="1185"/>
      <c r="L80" s="1185"/>
      <c r="M80" s="1185"/>
      <c r="N80" s="1185"/>
      <c r="O80" s="1185"/>
      <c r="P80" s="1185"/>
      <c r="Q80" s="1185"/>
      <c r="R80" s="1185"/>
      <c r="S80" s="1185"/>
      <c r="T80" s="1186"/>
      <c r="U80" s="966">
        <f>U81+U86</f>
        <v>186000</v>
      </c>
      <c r="V80" s="967"/>
      <c r="W80" s="967"/>
      <c r="X80" s="967"/>
      <c r="Y80" s="967"/>
      <c r="Z80" s="249" t="s">
        <v>1</v>
      </c>
      <c r="AA80" s="191" t="s">
        <v>252</v>
      </c>
      <c r="AB80" s="842"/>
      <c r="AC80" s="191"/>
      <c r="AD80" s="191"/>
      <c r="AE80" s="191"/>
      <c r="AF80" s="191"/>
      <c r="AG80" s="191"/>
      <c r="AH80" s="238"/>
      <c r="AI80" s="238"/>
      <c r="AJ80" s="238"/>
      <c r="AK80" s="238"/>
      <c r="AL80" s="238"/>
      <c r="AM80" s="273"/>
    </row>
    <row r="81" spans="1:51" ht="9.75" customHeight="1" thickBot="1">
      <c r="A81" s="172"/>
      <c r="B81" s="271"/>
      <c r="C81" s="968" t="s">
        <v>166</v>
      </c>
      <c r="D81" s="969"/>
      <c r="E81" s="895" t="s">
        <v>2159</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167</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2319</v>
      </c>
      <c r="AC82" s="862">
        <f>IFERROR(U83/U81*100,0)</f>
        <v>73.529411764705884</v>
      </c>
      <c r="AD82" s="863"/>
      <c r="AE82" s="864"/>
      <c r="AF82" s="860" t="s">
        <v>138</v>
      </c>
      <c r="AG82" s="860" t="s">
        <v>25</v>
      </c>
      <c r="AH82" s="861" t="s">
        <v>167</v>
      </c>
      <c r="AI82" s="841" t="str">
        <f>IF('別紙様式2-2（４・５月分）'!AV7="新規ベア加算なし","",IF(U81=0,"",IF(AND(AC82&gt;=200/3,AC82&lt;=100),"○","×")))</f>
        <v>○</v>
      </c>
      <c r="AJ82" s="238"/>
      <c r="AK82" s="172"/>
      <c r="AL82" s="238"/>
      <c r="AM82" s="1192" t="s">
        <v>2402</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2398</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167</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50000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251</v>
      </c>
      <c r="D86" s="1135"/>
      <c r="E86" s="895" t="s">
        <v>2160</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167</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2319</v>
      </c>
      <c r="AC87" s="862">
        <f>IFERROR(U88/U86*100,0)</f>
        <v>80</v>
      </c>
      <c r="AD87" s="863"/>
      <c r="AE87" s="864"/>
      <c r="AF87" s="860" t="s">
        <v>138</v>
      </c>
      <c r="AG87" s="860" t="s">
        <v>25</v>
      </c>
      <c r="AH87" s="861" t="s">
        <v>167</v>
      </c>
      <c r="AI87" s="841" t="str">
        <f>IF('別紙様式2-2（４・５月分）'!AV7="新規ベア加算なし","",IF(U86=0,"",IF(AND(AC87&gt;=200/3,AC87&lt;=100),"○","×")))</f>
        <v>○</v>
      </c>
      <c r="AJ87" s="238"/>
      <c r="AK87" s="238"/>
      <c r="AL87" s="238"/>
      <c r="AM87" s="1192" t="s">
        <v>2403</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2399</v>
      </c>
      <c r="G88" s="902"/>
      <c r="H88" s="902"/>
      <c r="I88" s="902"/>
      <c r="J88" s="902"/>
      <c r="K88" s="902"/>
      <c r="L88" s="902"/>
      <c r="M88" s="902"/>
      <c r="N88" s="902"/>
      <c r="O88" s="902"/>
      <c r="P88" s="902"/>
      <c r="Q88" s="902"/>
      <c r="R88" s="902"/>
      <c r="S88" s="902"/>
      <c r="T88" s="902"/>
      <c r="U88" s="913">
        <v>40000</v>
      </c>
      <c r="V88" s="914"/>
      <c r="W88" s="914"/>
      <c r="X88" s="914"/>
      <c r="Y88" s="915"/>
      <c r="Z88" s="1213" t="s">
        <v>1</v>
      </c>
      <c r="AA88" s="964" t="s">
        <v>167</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20000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264</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3.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該当</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3.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279</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266</v>
      </c>
      <c r="F98" s="977"/>
      <c r="G98" s="977"/>
      <c r="H98" s="977"/>
      <c r="I98" s="977"/>
      <c r="J98" s="977"/>
      <c r="K98" s="977"/>
      <c r="L98" s="977"/>
      <c r="M98" s="977"/>
      <c r="N98" s="977"/>
      <c r="O98" s="977"/>
      <c r="P98" s="977"/>
      <c r="Q98" s="977"/>
      <c r="R98" s="978"/>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2325</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2331</v>
      </c>
      <c r="AO99" s="802"/>
      <c r="AP99" s="802"/>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02" t="s">
        <v>2333</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2132</v>
      </c>
      <c r="D103" s="821"/>
      <c r="E103" s="821"/>
      <c r="F103" s="821"/>
      <c r="G103" s="821"/>
      <c r="H103" s="821"/>
      <c r="I103" s="821"/>
      <c r="J103" s="821"/>
      <c r="K103" s="821"/>
      <c r="L103" s="241"/>
      <c r="M103" s="924"/>
      <c r="N103" s="925"/>
      <c r="O103" s="1137" t="s">
        <v>2120</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2270</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267</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269</v>
      </c>
      <c r="F106" s="977"/>
      <c r="G106" s="977"/>
      <c r="H106" s="977"/>
      <c r="I106" s="977"/>
      <c r="J106" s="977"/>
      <c r="K106" s="977"/>
      <c r="L106" s="977"/>
      <c r="M106" s="977"/>
      <c r="N106" s="977"/>
      <c r="O106" s="977"/>
      <c r="P106" s="977"/>
      <c r="Q106" s="977"/>
      <c r="R106" s="978"/>
      <c r="S106" s="293" t="s">
        <v>252</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2325</v>
      </c>
    </row>
    <row r="107" spans="1:51" s="183" customFormat="1" ht="26.25" customHeight="1" thickBot="1">
      <c r="A107" s="182"/>
      <c r="B107" s="817"/>
      <c r="C107" s="296" t="s">
        <v>33</v>
      </c>
      <c r="D107" s="825" t="s">
        <v>273</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2331</v>
      </c>
      <c r="AO107" s="802"/>
      <c r="AP107" s="802"/>
      <c r="AQ107" s="175"/>
      <c r="AR107" s="170" t="b">
        <v>0</v>
      </c>
      <c r="AS107" s="802" t="s">
        <v>2334</v>
      </c>
      <c r="AT107" s="802"/>
      <c r="AU107" s="802"/>
    </row>
    <row r="108" spans="1:51" s="183" customFormat="1" ht="25.5" customHeight="1" thickBot="1">
      <c r="A108" s="182"/>
      <c r="B108" s="817"/>
      <c r="C108" s="922"/>
      <c r="D108" s="945" t="s">
        <v>96</v>
      </c>
      <c r="E108" s="946"/>
      <c r="F108" s="946"/>
      <c r="G108" s="946"/>
      <c r="H108" s="829"/>
      <c r="I108" s="890" t="s">
        <v>97</v>
      </c>
      <c r="J108" s="1008" t="s">
        <v>190</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1</v>
      </c>
      <c r="AN108" s="802" t="s">
        <v>2333</v>
      </c>
      <c r="AO108" s="802"/>
      <c r="AP108" s="802"/>
      <c r="AQ108" s="317"/>
      <c r="AR108" s="170" t="b">
        <v>0</v>
      </c>
      <c r="AS108" s="802" t="s">
        <v>2335</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t="s">
        <v>2429</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2405</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186</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t="s">
        <v>2426</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2406</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2404</v>
      </c>
      <c r="D114" s="821"/>
      <c r="E114" s="821"/>
      <c r="F114" s="821"/>
      <c r="G114" s="821"/>
      <c r="H114" s="821"/>
      <c r="I114" s="821"/>
      <c r="J114" s="821"/>
      <c r="K114" s="821"/>
      <c r="L114" s="241"/>
      <c r="M114" s="924"/>
      <c r="N114" s="925"/>
      <c r="O114" s="809" t="s">
        <v>2133</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2269</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271</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2325</v>
      </c>
      <c r="AR117" s="170" t="b">
        <v>0</v>
      </c>
      <c r="AS117" s="802" t="s">
        <v>2334</v>
      </c>
      <c r="AT117" s="802"/>
      <c r="AU117" s="802"/>
    </row>
    <row r="118" spans="1:51" s="183" customFormat="1" ht="20.25" customHeight="1" thickBot="1">
      <c r="A118" s="182"/>
      <c r="B118" s="924"/>
      <c r="C118" s="925"/>
      <c r="D118" s="1182" t="s">
        <v>269</v>
      </c>
      <c r="E118" s="1182"/>
      <c r="F118" s="1182"/>
      <c r="G118" s="1182"/>
      <c r="H118" s="1182"/>
      <c r="I118" s="1182"/>
      <c r="J118" s="1182"/>
      <c r="K118" s="1182"/>
      <c r="L118" s="1182"/>
      <c r="M118" s="1182"/>
      <c r="N118" s="1182"/>
      <c r="O118" s="1182"/>
      <c r="P118" s="1182"/>
      <c r="Q118" s="1183"/>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2331</v>
      </c>
      <c r="AO118" s="802"/>
      <c r="AP118" s="802"/>
      <c r="AR118" s="170" t="b">
        <v>0</v>
      </c>
      <c r="AS118" s="802" t="s">
        <v>2335</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1</v>
      </c>
      <c r="AN119" s="802" t="s">
        <v>2333</v>
      </c>
      <c r="AO119" s="802"/>
      <c r="AP119" s="802"/>
      <c r="AR119" s="170" t="b">
        <v>0</v>
      </c>
      <c r="AS119" s="802" t="s">
        <v>2336</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2407</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2408</v>
      </c>
      <c r="C125" s="808"/>
      <c r="D125" s="808"/>
      <c r="E125" s="808"/>
      <c r="F125" s="808"/>
      <c r="G125" s="808"/>
      <c r="H125" s="808"/>
      <c r="I125" s="808"/>
      <c r="J125" s="808"/>
      <c r="K125" s="808"/>
      <c r="L125" s="241"/>
      <c r="M125" s="924"/>
      <c r="N125" s="925"/>
      <c r="O125" s="985" t="s">
        <v>2121</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2268</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270</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2134</v>
      </c>
      <c r="C129" s="977"/>
      <c r="D129" s="977"/>
      <c r="E129" s="977"/>
      <c r="F129" s="977"/>
      <c r="G129" s="977"/>
      <c r="H129" s="977"/>
      <c r="I129" s="977"/>
      <c r="J129" s="977"/>
      <c r="K129" s="977"/>
      <c r="L129" s="977"/>
      <c r="M129" s="977"/>
      <c r="N129" s="977"/>
      <c r="O129" s="977"/>
      <c r="P129" s="977"/>
      <c r="Q129" s="978"/>
      <c r="R129" s="341" t="s">
        <v>263</v>
      </c>
      <c r="S129" s="342" t="str">
        <f>'別紙様式2-2（４・５月分）'!AL11</f>
        <v>×</v>
      </c>
      <c r="T129" s="787" t="s">
        <v>2414</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v>
      </c>
      <c r="AX129" s="210"/>
    </row>
    <row r="130" spans="1:52" ht="17.25" customHeight="1" thickBot="1">
      <c r="A130" s="172"/>
      <c r="B130" s="979" t="s">
        <v>2412</v>
      </c>
      <c r="C130" s="980"/>
      <c r="D130" s="980"/>
      <c r="E130" s="980"/>
      <c r="F130" s="980"/>
      <c r="G130" s="980"/>
      <c r="H130" s="980"/>
      <c r="I130" s="980"/>
      <c r="J130" s="980"/>
      <c r="K130" s="980"/>
      <c r="L130" s="980"/>
      <c r="M130" s="980"/>
      <c r="N130" s="980"/>
      <c r="O130" s="980"/>
      <c r="P130" s="980"/>
      <c r="Q130" s="981"/>
      <c r="R130" s="341" t="s">
        <v>263</v>
      </c>
      <c r="S130" s="342" t="str">
        <f>'別紙様式2-3（６月以降分）'!AR11</f>
        <v>○</v>
      </c>
      <c r="T130" s="787" t="s">
        <v>2415</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2413</v>
      </c>
      <c r="C131" s="980"/>
      <c r="D131" s="980"/>
      <c r="E131" s="980"/>
      <c r="F131" s="980"/>
      <c r="G131" s="980"/>
      <c r="H131" s="980"/>
      <c r="I131" s="980"/>
      <c r="J131" s="980"/>
      <c r="K131" s="980"/>
      <c r="L131" s="980"/>
      <c r="M131" s="980"/>
      <c r="N131" s="980"/>
      <c r="O131" s="980"/>
      <c r="P131" s="980"/>
      <c r="Q131" s="981"/>
      <c r="R131" s="341" t="s">
        <v>263</v>
      </c>
      <c r="S131" s="342" t="str">
        <f>'別紙様式2-4（年度内の区分変更がある場合に記入）'!AR11</f>
        <v/>
      </c>
      <c r="T131" s="787" t="s">
        <v>2416</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3.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4" t="s">
        <v>2428</v>
      </c>
      <c r="AN133" s="793"/>
      <c r="AO133" s="793"/>
      <c r="AP133" s="793"/>
      <c r="AQ133" s="793"/>
      <c r="AR133" s="793"/>
      <c r="AS133" s="793"/>
      <c r="AT133" s="793"/>
      <c r="AU133" s="793"/>
      <c r="AV133" s="793"/>
      <c r="AW133" s="793"/>
      <c r="AX133" s="793"/>
      <c r="AY133" s="794"/>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2409</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2140</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3.5" thickBot="1">
      <c r="A141" s="172"/>
      <c r="B141" s="295" t="s">
        <v>2358</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2136</v>
      </c>
      <c r="C142" s="1185"/>
      <c r="D142" s="1185"/>
      <c r="E142" s="1185"/>
      <c r="F142" s="1185"/>
      <c r="G142" s="1185"/>
      <c r="H142" s="1185"/>
      <c r="I142" s="1185"/>
      <c r="J142" s="1185"/>
      <c r="K142" s="1185"/>
      <c r="L142" s="1185"/>
      <c r="M142" s="1185"/>
      <c r="N142" s="1185"/>
      <c r="O142" s="1185"/>
      <c r="P142" s="1185"/>
      <c r="Q142" s="1186"/>
      <c r="R142" s="341" t="s">
        <v>263</v>
      </c>
      <c r="S142" s="368" t="str">
        <f>IF('別紙様式2-2（４・５月分）'!AM11="未入力あり","×",'別紙様式2-2（４・５月分）'!AM11)</f>
        <v>○</v>
      </c>
      <c r="T142" s="787" t="s">
        <v>2138</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2137</v>
      </c>
      <c r="C143" s="819"/>
      <c r="D143" s="819"/>
      <c r="E143" s="819"/>
      <c r="F143" s="819"/>
      <c r="G143" s="819"/>
      <c r="H143" s="819"/>
      <c r="I143" s="819"/>
      <c r="J143" s="819"/>
      <c r="K143" s="819"/>
      <c r="L143" s="819"/>
      <c r="M143" s="819"/>
      <c r="N143" s="819"/>
      <c r="O143" s="819"/>
      <c r="P143" s="819"/>
      <c r="Q143" s="820"/>
      <c r="R143" s="341" t="s">
        <v>263</v>
      </c>
      <c r="S143" s="369" t="str">
        <f>IF('別紙様式2-3（６月以降分）'!AS11="未入力あり","×",'別紙様式2-3（６月以降分）'!AS11)</f>
        <v>○</v>
      </c>
      <c r="T143" s="790" t="s">
        <v>2139</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2338</v>
      </c>
      <c r="C144" s="819"/>
      <c r="D144" s="819"/>
      <c r="E144" s="819"/>
      <c r="F144" s="819"/>
      <c r="G144" s="819"/>
      <c r="H144" s="819"/>
      <c r="I144" s="819"/>
      <c r="J144" s="819"/>
      <c r="K144" s="819"/>
      <c r="L144" s="819"/>
      <c r="M144" s="819"/>
      <c r="N144" s="819"/>
      <c r="O144" s="819"/>
      <c r="P144" s="819"/>
      <c r="Q144" s="820"/>
      <c r="R144" s="341" t="s">
        <v>263</v>
      </c>
      <c r="S144" s="369" t="str">
        <f>IF('別紙様式2-4（年度内の区分変更がある場合に記入）'!AS11="未入力あり","×",'別紙様式2-4（年度内の区分変更がある場合に記入）'!AS11)</f>
        <v/>
      </c>
      <c r="T144" s="790" t="s">
        <v>2339</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272</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
      </c>
      <c r="AJ147" s="1151"/>
      <c r="AK147" s="1152"/>
      <c r="AL147" s="182"/>
    </row>
    <row r="148" spans="1:51" s="183" customFormat="1" ht="28.5" customHeight="1">
      <c r="A148" s="182"/>
      <c r="B148" s="270" t="s">
        <v>263</v>
      </c>
      <c r="C148" s="1038" t="s">
        <v>2142</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82"/>
    </row>
    <row r="151" spans="1:51" s="183" customFormat="1" ht="39" customHeight="1">
      <c r="A151" s="182"/>
      <c r="B151" s="270" t="s">
        <v>263</v>
      </c>
      <c r="C151" s="1038" t="s">
        <v>2177</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2332</v>
      </c>
      <c r="AN153" s="784" t="s">
        <v>2272</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2273</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1</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2273</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1</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2273</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1</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1</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2273</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1</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1</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1</v>
      </c>
      <c r="AN171" s="796" t="s">
        <v>2273</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2273</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2151</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8" t="s">
        <v>22</v>
      </c>
      <c r="C181" s="1019"/>
      <c r="D181" s="1019"/>
      <c r="E181" s="1020" t="b">
        <v>0</v>
      </c>
      <c r="F181" s="373"/>
      <c r="G181" s="836" t="s">
        <v>2290</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1</v>
      </c>
      <c r="AN181" s="796" t="s">
        <v>2265</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2291</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4.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2248</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2252</v>
      </c>
      <c r="AF186" s="1000"/>
      <c r="AG186" s="1000"/>
      <c r="AH186" s="1000"/>
      <c r="AI186" s="1000"/>
      <c r="AJ186" s="1001"/>
      <c r="AK186" s="371" t="str">
        <f>IF(AND(AM187=TRUE,OR(Q20=0,AM188=TRUE),AM189=TRUE,AM190=TRUE,AM191=TRUE,AM192=TRUE),"○","×")</f>
        <v>○</v>
      </c>
      <c r="AL186" s="172"/>
      <c r="AM186" s="784" t="s">
        <v>2274</v>
      </c>
      <c r="AN186" s="785"/>
      <c r="AO186" s="785"/>
      <c r="AP186" s="785"/>
      <c r="AQ186" s="785"/>
      <c r="AR186" s="785"/>
      <c r="AS186" s="785"/>
      <c r="AT186" s="785"/>
      <c r="AU186" s="785"/>
      <c r="AV186" s="785"/>
      <c r="AW186" s="785"/>
      <c r="AX186" s="785"/>
      <c r="AY186" s="786"/>
    </row>
    <row r="187" spans="1:55" s="183" customFormat="1" ht="26.25" customHeight="1">
      <c r="A187" s="182"/>
      <c r="B187" s="373"/>
      <c r="C187" s="836" t="s">
        <v>2251</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2253</v>
      </c>
      <c r="AF187" s="1003"/>
      <c r="AG187" s="1003"/>
      <c r="AH187" s="1003"/>
      <c r="AI187" s="1003"/>
      <c r="AJ187" s="1003"/>
      <c r="AK187" s="1004"/>
      <c r="AL187" s="172"/>
      <c r="AM187" s="171" t="b">
        <v>1</v>
      </c>
      <c r="AN187" s="317"/>
      <c r="AO187" s="317"/>
      <c r="AP187" s="317"/>
      <c r="AQ187" s="317"/>
      <c r="AR187" s="317"/>
      <c r="AS187" s="317"/>
      <c r="AT187" s="317"/>
      <c r="AU187" s="317"/>
      <c r="AV187" s="317"/>
    </row>
    <row r="188" spans="1:55" s="183" customFormat="1" ht="35.25" customHeight="1">
      <c r="A188" s="182"/>
      <c r="B188" s="382"/>
      <c r="C188" s="834" t="s">
        <v>2261</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2253</v>
      </c>
      <c r="AF188" s="849"/>
      <c r="AG188" s="849"/>
      <c r="AH188" s="849"/>
      <c r="AI188" s="849"/>
      <c r="AJ188" s="849"/>
      <c r="AK188" s="850"/>
      <c r="AL188" s="172"/>
      <c r="AM188" s="170" t="b">
        <v>1</v>
      </c>
      <c r="AN188" s="317"/>
      <c r="AO188" s="317"/>
      <c r="AP188" s="317"/>
      <c r="AQ188" s="317"/>
      <c r="AR188" s="317"/>
      <c r="AS188" s="317"/>
      <c r="AT188" s="317"/>
      <c r="AU188" s="317"/>
      <c r="AV188" s="317"/>
    </row>
    <row r="189" spans="1:55" s="183" customFormat="1" ht="37.5" customHeight="1">
      <c r="A189" s="182"/>
      <c r="B189" s="382"/>
      <c r="C189" s="920" t="s">
        <v>2255</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2254</v>
      </c>
      <c r="AF189" s="849"/>
      <c r="AG189" s="849"/>
      <c r="AH189" s="849"/>
      <c r="AI189" s="849"/>
      <c r="AJ189" s="849"/>
      <c r="AK189" s="850"/>
      <c r="AL189" s="172"/>
      <c r="AM189" s="170" t="b">
        <v>1</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1</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1</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7" t="s">
        <v>2311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2266</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v>6</v>
      </c>
      <c r="F200" s="974"/>
      <c r="G200" s="407" t="s">
        <v>4</v>
      </c>
      <c r="H200" s="973" t="s">
        <v>187</v>
      </c>
      <c r="I200" s="974"/>
      <c r="J200" s="407" t="s">
        <v>3</v>
      </c>
      <c r="K200" s="973" t="s">
        <v>187</v>
      </c>
      <c r="L200" s="974"/>
      <c r="M200" s="407" t="s">
        <v>2</v>
      </c>
      <c r="N200" s="395"/>
      <c r="O200" s="1043" t="s">
        <v>5</v>
      </c>
      <c r="P200" s="1043"/>
      <c r="Q200" s="1043"/>
      <c r="R200" s="1154" t="str">
        <f>IF(H7="","",H7)</f>
        <v>○○ケアサービス</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t="s">
        <v>179</v>
      </c>
      <c r="U201" s="1017"/>
      <c r="V201" s="1017"/>
      <c r="W201" s="1017"/>
      <c r="X201" s="1017"/>
      <c r="Y201" s="1191" t="s">
        <v>53</v>
      </c>
      <c r="Z201" s="1191"/>
      <c r="AA201" s="1017" t="s">
        <v>180</v>
      </c>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2411</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2148</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193</v>
      </c>
      <c r="C209" s="959" t="s">
        <v>2249</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2239</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2250</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2257</v>
      </c>
      <c r="C212" s="989" t="s">
        <v>2149</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2258</v>
      </c>
      <c r="C213" s="1040" t="s">
        <v>2150</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2144</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193</v>
      </c>
      <c r="C216" s="831" t="s">
        <v>2157</v>
      </c>
      <c r="D216" s="832"/>
      <c r="E216" s="832"/>
      <c r="F216" s="832"/>
      <c r="G216" s="832"/>
      <c r="H216" s="832"/>
      <c r="I216" s="833"/>
      <c r="J216" s="1144" t="s">
        <v>2181</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2366</v>
      </c>
      <c r="C217" s="1142" t="s">
        <v>2161</v>
      </c>
      <c r="D217" s="1142"/>
      <c r="E217" s="1142"/>
      <c r="F217" s="1142"/>
      <c r="G217" s="1142"/>
      <c r="H217" s="1142"/>
      <c r="I217" s="1142"/>
      <c r="J217" s="1148" t="s">
        <v>2168</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2165</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2162</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v>
      </c>
      <c r="AL219" s="431"/>
      <c r="AM219" s="175"/>
    </row>
    <row r="220" spans="1:56" s="389" customFormat="1" ht="25.5" customHeight="1">
      <c r="A220" s="385"/>
      <c r="B220" s="1140"/>
      <c r="C220" s="1142"/>
      <c r="D220" s="1142"/>
      <c r="E220" s="1142"/>
      <c r="F220" s="1142"/>
      <c r="G220" s="1142"/>
      <c r="H220" s="1142"/>
      <c r="I220" s="1142"/>
      <c r="J220" s="1148" t="s">
        <v>2163</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v>
      </c>
      <c r="AL220" s="431"/>
      <c r="AM220" s="175"/>
    </row>
    <row r="221" spans="1:56" s="389" customFormat="1" ht="48.75" customHeight="1">
      <c r="A221" s="385"/>
      <c r="B221" s="1140" t="s">
        <v>2258</v>
      </c>
      <c r="C221" s="1142" t="s">
        <v>2152</v>
      </c>
      <c r="D221" s="1142"/>
      <c r="E221" s="1142"/>
      <c r="F221" s="1142"/>
      <c r="G221" s="1142"/>
      <c r="H221" s="1142"/>
      <c r="I221" s="1142"/>
      <c r="J221" s="1148" t="s">
        <v>2169</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2170</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2367</v>
      </c>
      <c r="C223" s="1142" t="s">
        <v>2153</v>
      </c>
      <c r="D223" s="1142"/>
      <c r="E223" s="1142"/>
      <c r="F223" s="1142"/>
      <c r="G223" s="1142"/>
      <c r="H223" s="1142"/>
      <c r="I223" s="1142"/>
      <c r="J223" s="1148" t="s">
        <v>2171</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2368</v>
      </c>
      <c r="C224" s="1142" t="s">
        <v>2154</v>
      </c>
      <c r="D224" s="1142"/>
      <c r="E224" s="1142"/>
      <c r="F224" s="1142"/>
      <c r="G224" s="1142"/>
      <c r="H224" s="1142"/>
      <c r="I224" s="1142"/>
      <c r="J224" s="1148" t="s">
        <v>2172</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2369</v>
      </c>
      <c r="C225" s="1142" t="s">
        <v>2155</v>
      </c>
      <c r="D225" s="1142"/>
      <c r="E225" s="1142"/>
      <c r="F225" s="1142"/>
      <c r="G225" s="1142"/>
      <c r="H225" s="1142"/>
      <c r="I225" s="1142"/>
      <c r="J225" s="1144" t="s">
        <v>2173</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v>
      </c>
      <c r="AL225" s="432"/>
      <c r="AM225" s="175"/>
    </row>
    <row r="226" spans="1:56" s="183" customFormat="1">
      <c r="A226" s="182"/>
      <c r="B226" s="1140" t="s">
        <v>2370</v>
      </c>
      <c r="C226" s="1142" t="s">
        <v>2156</v>
      </c>
      <c r="D226" s="1142"/>
      <c r="E226" s="1142"/>
      <c r="F226" s="1142"/>
      <c r="G226" s="1142"/>
      <c r="H226" s="1142"/>
      <c r="I226" s="1142"/>
      <c r="J226" s="1144" t="s">
        <v>2174</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2175</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2176</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2293</v>
      </c>
      <c r="C230" s="1223" t="s">
        <v>194</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2293</v>
      </c>
      <c r="C231" s="1199" t="s">
        <v>2292</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ZkKGfESJEix21vW6p6aB1dE8rNJMyxqe66bEKA2krM8KZJKbsa00WfJNGhLeUI2vfPlew8YV4hYywFApArRKZQ==" saltValue="ss+zMTpel5TEgncT6lfLU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453125" defaultRowHeight="16.5"/>
  <cols>
    <col min="1" max="1" width="6.08984375" style="175" customWidth="1"/>
    <col min="2" max="6" width="2.6328125" style="610" customWidth="1"/>
    <col min="7" max="7" width="16.6328125" style="175" customWidth="1"/>
    <col min="8" max="8" width="11.08984375" style="175" customWidth="1"/>
    <col min="9" max="9" width="9.36328125" style="175" customWidth="1"/>
    <col min="10" max="10" width="15.90625" style="175" customWidth="1"/>
    <col min="11" max="11" width="15.36328125" style="175" customWidth="1"/>
    <col min="12" max="12" width="11.90625" style="175" customWidth="1"/>
    <col min="13" max="13" width="7.6328125" style="175" customWidth="1"/>
    <col min="14" max="14" width="20.36328125" style="175" customWidth="1"/>
    <col min="15" max="15" width="15.36328125" style="614" customWidth="1"/>
    <col min="16" max="16" width="7" style="615" customWidth="1"/>
    <col min="17" max="17" width="14.90625" style="614" customWidth="1"/>
    <col min="18" max="18" width="7.26953125" style="615" customWidth="1"/>
    <col min="19" max="19" width="4.08984375" style="175" customWidth="1"/>
    <col min="20" max="20" width="3.6328125" style="175" customWidth="1"/>
    <col min="21" max="21" width="3.08984375" style="175" customWidth="1"/>
    <col min="22" max="22" width="3.6328125" style="175" customWidth="1"/>
    <col min="23" max="23" width="8.26953125" style="175" customWidth="1"/>
    <col min="24" max="24" width="3.6328125" style="175" customWidth="1"/>
    <col min="25" max="25" width="3.08984375" style="175" customWidth="1"/>
    <col min="26" max="26" width="3.6328125" style="175" customWidth="1"/>
    <col min="27" max="27" width="3.08984375" style="175" customWidth="1"/>
    <col min="28" max="28" width="2.453125" style="175" customWidth="1"/>
    <col min="29" max="29" width="3.453125" style="175" customWidth="1"/>
    <col min="30" max="30" width="5.453125" style="175" customWidth="1"/>
    <col min="31" max="32" width="16.90625" style="613" customWidth="1"/>
    <col min="33" max="33" width="14.08984375" style="613" customWidth="1"/>
    <col min="34" max="34" width="9.36328125" style="175" customWidth="1"/>
    <col min="35" max="35" width="13.08984375" style="175" customWidth="1"/>
    <col min="36" max="36" width="11.6328125" style="175" customWidth="1"/>
    <col min="37" max="37" width="13.36328125" style="175" customWidth="1"/>
    <col min="38" max="38" width="14.6328125" style="175" customWidth="1"/>
    <col min="39" max="39" width="25.453125" style="285" customWidth="1"/>
    <col min="40" max="40" width="77.7265625" style="285" customWidth="1"/>
    <col min="41" max="41" width="9.26953125" style="285" customWidth="1"/>
    <col min="42" max="42" width="14.08984375" style="503" hidden="1" customWidth="1"/>
    <col min="43" max="43" width="25.08984375" style="440" hidden="1" customWidth="1"/>
    <col min="44" max="44" width="30.36328125" style="440" hidden="1" customWidth="1"/>
    <col min="45" max="48" width="6.6328125" style="440" hidden="1" customWidth="1"/>
    <col min="49" max="49" width="9.36328125" style="440" hidden="1" customWidth="1"/>
    <col min="50" max="50" width="6.6328125" style="440" hidden="1" customWidth="1"/>
    <col min="51" max="51" width="16.36328125" style="175" customWidth="1"/>
    <col min="52" max="16384" width="2.4531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2381</v>
      </c>
      <c r="B5" s="1291"/>
      <c r="C5" s="1291"/>
      <c r="D5" s="1291"/>
      <c r="E5" s="1291"/>
      <c r="F5" s="1291"/>
      <c r="G5" s="1291"/>
      <c r="H5" s="1291"/>
      <c r="I5" s="1291"/>
      <c r="J5" s="1292"/>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2382</v>
      </c>
      <c r="B6" s="1291"/>
      <c r="C6" s="1291"/>
      <c r="D6" s="1291"/>
      <c r="E6" s="1291"/>
      <c r="F6" s="1291"/>
      <c r="G6" s="1291"/>
      <c r="H6" s="1291"/>
      <c r="I6" s="1291"/>
      <c r="J6" s="1292"/>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93" t="s">
        <v>2383</v>
      </c>
      <c r="B7" s="1291"/>
      <c r="C7" s="1291"/>
      <c r="D7" s="1291"/>
      <c r="E7" s="1291"/>
      <c r="F7" s="1291"/>
      <c r="G7" s="1291"/>
      <c r="H7" s="1291"/>
      <c r="I7" s="1291"/>
      <c r="J7" s="1292"/>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4" t="s">
        <v>2128</v>
      </c>
      <c r="AH7" s="1315"/>
      <c r="AI7" s="1315"/>
      <c r="AJ7" s="1315"/>
      <c r="AK7" s="1316"/>
      <c r="AL7" s="525">
        <f>SUMIF(N:N,"特定加算",AL:AL)</f>
        <v>1</v>
      </c>
      <c r="AM7" s="283"/>
      <c r="AQ7" s="526" t="s">
        <v>2220</v>
      </c>
      <c r="AR7" s="527" t="str">
        <f>IF(COUNTIF(Q:Q,"処遇加算Ⅰ")&gt;=1,"処遇加算Ⅰあり","処遇加算Ⅰなし")</f>
        <v>処遇加算Ⅰあり</v>
      </c>
      <c r="AS7" s="1324" t="str">
        <f>IF((COUNTIF(Q:Q,"特定加算Ⅰ")+COUNTIF(Q:Q,"特定加算Ⅱ"))&gt;=1,"特定加算あり","特定加算なし")</f>
        <v>特定加算あり</v>
      </c>
      <c r="AT7" s="1324"/>
      <c r="AU7" s="1324"/>
      <c r="AV7" s="1324" t="str">
        <f>IF(COUNTIFS(O:O,"ベア加算なし",Q:Q,"ベア加算")&gt;=1,"新規ベア加算あり","新規ベア加算なし")</f>
        <v>新規ベア加算あり</v>
      </c>
      <c r="AW7" s="1324"/>
      <c r="AX7" s="1324"/>
    </row>
    <row r="8" spans="1:213" ht="38.25" customHeight="1" thickBot="1">
      <c r="A8" s="528"/>
      <c r="B8" s="529"/>
      <c r="C8" s="1231" t="s">
        <v>2377</v>
      </c>
      <c r="D8" s="1231"/>
      <c r="E8" s="1231"/>
      <c r="F8" s="1231"/>
      <c r="G8" s="1231"/>
      <c r="H8" s="1231"/>
      <c r="I8" s="1231"/>
      <c r="J8" s="1232"/>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4" t="s">
        <v>2360</v>
      </c>
      <c r="AH8" s="1315"/>
      <c r="AI8" s="1315"/>
      <c r="AJ8" s="1315"/>
      <c r="AK8" s="1316"/>
      <c r="AL8" s="525">
        <f>SUM(AW:AW)</f>
        <v>2</v>
      </c>
      <c r="AM8" s="283"/>
      <c r="AQ8" s="526" t="s">
        <v>2221</v>
      </c>
      <c r="AR8" s="527" t="str">
        <f>IF((COUNTIF(Q:Q,"処遇加算Ⅰ")+COUNTIF(Q:Q,"処遇加算Ⅱ"))&gt;=1,"処遇加算Ⅰ・Ⅱあり","処遇加算Ⅰ・Ⅱなし")</f>
        <v>処遇加算Ⅰ・Ⅱあり</v>
      </c>
      <c r="AS8" s="1324" t="str">
        <f>IF(COUNTIF(Q:Q,"特定加算Ⅰ")&gt;=1,"特定加算Ⅰあり","特定加算Ⅰなし")</f>
        <v>特定加算Ⅰあり</v>
      </c>
      <c r="AT8" s="1324"/>
      <c r="AU8" s="1324"/>
      <c r="AV8" s="1324" t="str">
        <f>IF(COUNTIFS(O:O,"ベア加算",Q:Q,"ベア加算")&gt;=1,"継続ベア加算あり","継続ベア加算なし")</f>
        <v>継続ベア加算あり</v>
      </c>
      <c r="AW8" s="1324"/>
      <c r="AX8" s="1324"/>
    </row>
    <row r="9" spans="1:213" ht="36" customHeight="1" thickBot="1">
      <c r="A9" s="1294" t="s">
        <v>2376</v>
      </c>
      <c r="B9" s="1294"/>
      <c r="C9" s="1294"/>
      <c r="D9" s="1294"/>
      <c r="E9" s="1294"/>
      <c r="F9" s="1294"/>
      <c r="G9" s="1294"/>
      <c r="H9" s="1294"/>
      <c r="I9" s="1294"/>
      <c r="J9" s="1294"/>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2389</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2346</v>
      </c>
      <c r="C12" s="1299"/>
      <c r="D12" s="1299"/>
      <c r="E12" s="1299"/>
      <c r="F12" s="1300"/>
      <c r="G12" s="1304" t="s">
        <v>63</v>
      </c>
      <c r="H12" s="1284" t="s">
        <v>88</v>
      </c>
      <c r="I12" s="1284"/>
      <c r="J12" s="1306" t="s">
        <v>69</v>
      </c>
      <c r="K12" s="1308" t="s">
        <v>40</v>
      </c>
      <c r="L12" s="1310" t="s">
        <v>2191</v>
      </c>
      <c r="M12" s="1282" t="s">
        <v>67</v>
      </c>
      <c r="N12" s="1288" t="s">
        <v>202</v>
      </c>
      <c r="O12" s="1319" t="s">
        <v>2230</v>
      </c>
      <c r="P12" s="1320"/>
      <c r="Q12" s="1320" t="s">
        <v>2229</v>
      </c>
      <c r="R12" s="1320"/>
      <c r="S12" s="1320"/>
      <c r="T12" s="1320"/>
      <c r="U12" s="1320"/>
      <c r="V12" s="1320"/>
      <c r="W12" s="1320"/>
      <c r="X12" s="1320"/>
      <c r="Y12" s="1320"/>
      <c r="Z12" s="1320"/>
      <c r="AA12" s="1320"/>
      <c r="AB12" s="1320"/>
      <c r="AC12" s="1320"/>
      <c r="AD12" s="1320"/>
      <c r="AE12" s="1321"/>
      <c r="AF12" s="1322" t="s">
        <v>2380</v>
      </c>
      <c r="AG12" s="1325" t="s">
        <v>2216</v>
      </c>
      <c r="AH12" s="1326"/>
      <c r="AI12" s="1330" t="s">
        <v>255</v>
      </c>
      <c r="AJ12" s="1331"/>
      <c r="AK12" s="543" t="s">
        <v>249</v>
      </c>
      <c r="AL12" s="543" t="s">
        <v>253</v>
      </c>
      <c r="AM12" s="544" t="s">
        <v>254</v>
      </c>
      <c r="AN12" s="1233" t="s">
        <v>2345</v>
      </c>
      <c r="AY12" s="1235" t="s">
        <v>2378</v>
      </c>
    </row>
    <row r="13" spans="1:213" ht="127.5" customHeight="1" thickBot="1">
      <c r="A13" s="1260"/>
      <c r="B13" s="1301"/>
      <c r="C13" s="1302"/>
      <c r="D13" s="1302"/>
      <c r="E13" s="1302"/>
      <c r="F13" s="1303"/>
      <c r="G13" s="1305"/>
      <c r="H13" s="545" t="s">
        <v>2430</v>
      </c>
      <c r="I13" s="545" t="s">
        <v>2348</v>
      </c>
      <c r="J13" s="1307"/>
      <c r="K13" s="1309"/>
      <c r="L13" s="1311"/>
      <c r="M13" s="1283"/>
      <c r="N13" s="1289"/>
      <c r="O13" s="546" t="s">
        <v>2354</v>
      </c>
      <c r="P13" s="547" t="s">
        <v>2129</v>
      </c>
      <c r="Q13" s="546" t="s">
        <v>2233</v>
      </c>
      <c r="R13" s="547" t="s">
        <v>191</v>
      </c>
      <c r="S13" s="1327" t="s">
        <v>2353</v>
      </c>
      <c r="T13" s="1328"/>
      <c r="U13" s="1328"/>
      <c r="V13" s="1328"/>
      <c r="W13" s="1328"/>
      <c r="X13" s="1328"/>
      <c r="Y13" s="1328"/>
      <c r="Z13" s="1328"/>
      <c r="AA13" s="1328"/>
      <c r="AB13" s="1328"/>
      <c r="AC13" s="1328"/>
      <c r="AD13" s="1329"/>
      <c r="AE13" s="548" t="s">
        <v>2312</v>
      </c>
      <c r="AF13" s="1323"/>
      <c r="AG13" s="549" t="s">
        <v>2217</v>
      </c>
      <c r="AH13" s="550" t="s">
        <v>2218</v>
      </c>
      <c r="AI13" s="551" t="s">
        <v>2350</v>
      </c>
      <c r="AJ13" s="550" t="s">
        <v>2351</v>
      </c>
      <c r="AK13" s="552" t="s">
        <v>248</v>
      </c>
      <c r="AL13" s="552" t="s">
        <v>2362</v>
      </c>
      <c r="AM13" s="553" t="s">
        <v>2355</v>
      </c>
      <c r="AN13" s="1234"/>
      <c r="AO13" s="554"/>
      <c r="AP13" s="555" t="s">
        <v>2224</v>
      </c>
      <c r="AQ13" s="555" t="s">
        <v>2198</v>
      </c>
      <c r="AR13" s="555" t="s">
        <v>2219</v>
      </c>
      <c r="AS13" s="555" t="s">
        <v>2212</v>
      </c>
      <c r="AT13" s="556" t="s">
        <v>2199</v>
      </c>
      <c r="AU13" s="557" t="s">
        <v>2200</v>
      </c>
      <c r="AV13" s="555" t="s">
        <v>2201</v>
      </c>
      <c r="AW13" s="558" t="s">
        <v>2202</v>
      </c>
      <c r="AX13" s="555" t="s">
        <v>2203</v>
      </c>
      <c r="AY13" s="1236"/>
    </row>
    <row r="14" spans="1:213" ht="32.15" customHeight="1">
      <c r="A14" s="1295">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267" t="str">
        <f>IF(基本情報入力シート!X54="","",基本情報入力シート!X54)</f>
        <v>○○ケアセンター</v>
      </c>
      <c r="K14" s="1270" t="str">
        <f>IF(基本情報入力シート!Y54="","",基本情報入力シート!Y54)</f>
        <v>訪問介護</v>
      </c>
      <c r="L14" s="1273">
        <f>IF(基本情報入力シート!AB54="","",基本情報入力シート!AB54)</f>
        <v>185000</v>
      </c>
      <c r="M14" s="1276">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5" customHeight="1">
      <c r="A15" s="1296"/>
      <c r="B15" s="1286"/>
      <c r="C15" s="1263"/>
      <c r="D15" s="1263"/>
      <c r="E15" s="1263"/>
      <c r="F15" s="1264"/>
      <c r="G15" s="1268"/>
      <c r="H15" s="1268"/>
      <c r="I15" s="1268"/>
      <c r="J15" s="1268"/>
      <c r="K15" s="1271"/>
      <c r="L15" s="1274"/>
      <c r="M15" s="1277"/>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2297</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5" customHeight="1" thickBot="1">
      <c r="A16" s="1297"/>
      <c r="B16" s="1287"/>
      <c r="C16" s="1265"/>
      <c r="D16" s="1265"/>
      <c r="E16" s="1265"/>
      <c r="F16" s="1266"/>
      <c r="G16" s="1269"/>
      <c r="H16" s="1269"/>
      <c r="I16" s="1269"/>
      <c r="J16" s="1269"/>
      <c r="K16" s="1272"/>
      <c r="L16" s="1275"/>
      <c r="M16" s="1278"/>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5" customHeight="1">
      <c r="A17" s="1228">
        <v>2</v>
      </c>
      <c r="B17" s="1261">
        <f>IF(基本情報入力シート!C55="","",基本情報入力シート!C55)</f>
        <v>1334567890</v>
      </c>
      <c r="C17" s="1261"/>
      <c r="D17" s="1261"/>
      <c r="E17" s="1261"/>
      <c r="F17" s="1262"/>
      <c r="G17" s="1267" t="str">
        <f>IF(基本情報入力シート!M55="","",基本情報入力シート!M55)</f>
        <v>千代田区・中央区・港区</v>
      </c>
      <c r="H17" s="1267" t="str">
        <f>IF(基本情報入力シート!R55="","",基本情報入力シート!R55)</f>
        <v>東京都</v>
      </c>
      <c r="I17" s="1267" t="str">
        <f>IF(基本情報入力シート!W55="","",基本情報入力シート!W55)</f>
        <v>千代田区</v>
      </c>
      <c r="J17" s="1267" t="str">
        <f>IF(基本情報入力シート!X55="","",基本情報入力シート!X55)</f>
        <v>○○ケアセンター</v>
      </c>
      <c r="K17" s="1270" t="str">
        <f>IF(基本情報入力シート!Y55="","",基本情報入力シート!Y55)</f>
        <v>訪問型サービス（総合事業）</v>
      </c>
      <c r="L17" s="1273">
        <f>IF(基本情報入力シート!AB55="","",基本情報入力シート!AB55)</f>
        <v>83000</v>
      </c>
      <c r="M17" s="1276">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IF(AG19&lt;&gt;"",IF(AH19="○","入力済","未入力"),"")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5" customHeight="1">
      <c r="A18" s="1229"/>
      <c r="B18" s="1263"/>
      <c r="C18" s="1263"/>
      <c r="D18" s="1263"/>
      <c r="E18" s="1263"/>
      <c r="F18" s="1264"/>
      <c r="G18" s="1268"/>
      <c r="H18" s="1268"/>
      <c r="I18" s="1268"/>
      <c r="J18" s="1268"/>
      <c r="K18" s="1271"/>
      <c r="L18" s="1274"/>
      <c r="M18" s="1277"/>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5" customHeight="1" thickBot="1">
      <c r="A19" s="1230"/>
      <c r="B19" s="1265"/>
      <c r="C19" s="1265"/>
      <c r="D19" s="1265"/>
      <c r="E19" s="1265"/>
      <c r="F19" s="1266"/>
      <c r="G19" s="1269"/>
      <c r="H19" s="1269"/>
      <c r="I19" s="1269"/>
      <c r="J19" s="1269"/>
      <c r="K19" s="1272"/>
      <c r="L19" s="1275"/>
      <c r="M19" s="1278"/>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5" customHeight="1">
      <c r="A20" s="1251">
        <v>3</v>
      </c>
      <c r="B20" s="1252">
        <f>IF(基本情報入力シート!C56="","",基本情報入力シート!C56)</f>
        <v>1334567891</v>
      </c>
      <c r="C20" s="1252"/>
      <c r="D20" s="1252"/>
      <c r="E20" s="1252"/>
      <c r="F20" s="1252"/>
      <c r="G20" s="1253" t="str">
        <f>IF(基本情報入力シート!M56="","",基本情報入力シート!M56)</f>
        <v>東京都</v>
      </c>
      <c r="H20" s="1253" t="str">
        <f>IF(基本情報入力シート!R56="","",基本情報入力シート!R56)</f>
        <v>東京都</v>
      </c>
      <c r="I20" s="1253" t="str">
        <f>IF(基本情報入力シート!W56="","",基本情報入力シート!W56)</f>
        <v>千代田区</v>
      </c>
      <c r="J20" s="1253" t="str">
        <f>IF(基本情報入力シート!X56="","",基本情報入力シート!X56)</f>
        <v>デイサービス△△</v>
      </c>
      <c r="K20" s="1253" t="str">
        <f>IF(基本情報入力シート!Y56="","",基本情報入力シート!Y56)</f>
        <v>通所介護</v>
      </c>
      <c r="L20" s="1280">
        <f>IF(基本情報入力シート!AB56="","",基本情報入力シート!AB56)</f>
        <v>305000</v>
      </c>
      <c r="M20" s="128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IF(AG22&lt;&gt;"",IF(AH22="○","入力済","未入力"),"")</f>
        <v>未入力</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5" customHeight="1">
      <c r="A21" s="1229"/>
      <c r="B21" s="1226"/>
      <c r="C21" s="1226"/>
      <c r="D21" s="1226"/>
      <c r="E21" s="1226"/>
      <c r="F21" s="1226"/>
      <c r="G21" s="1238"/>
      <c r="H21" s="1238"/>
      <c r="I21" s="1238"/>
      <c r="J21" s="1238"/>
      <c r="K21" s="1238"/>
      <c r="L21" s="1241"/>
      <c r="M21" s="1244"/>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5" customHeight="1" thickBot="1">
      <c r="A22" s="1250"/>
      <c r="B22" s="1246"/>
      <c r="C22" s="1246"/>
      <c r="D22" s="1246"/>
      <c r="E22" s="1246"/>
      <c r="F22" s="1246"/>
      <c r="G22" s="1247"/>
      <c r="H22" s="1247"/>
      <c r="I22" s="1247"/>
      <c r="J22" s="1247"/>
      <c r="K22" s="1247"/>
      <c r="L22" s="1248"/>
      <c r="M22" s="124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4"/>
        <v>2</v>
      </c>
      <c r="AD22" s="587" t="s">
        <v>38</v>
      </c>
      <c r="AE22" s="602">
        <f>IFERROR(ROUNDDOWN(ROUND(L20*R22,0)*M20,0)*AC22,"")</f>
        <v>73138</v>
      </c>
      <c r="AF22" s="591">
        <f>IFERROR(ROUNDDOWN(ROUND(L20*(R22-P22),0)*M20,0)*AC22,"")</f>
        <v>0</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5" customHeight="1">
      <c r="A23" s="1228">
        <v>4</v>
      </c>
      <c r="B23" s="1225">
        <f>IF(基本情報入力シート!C57="","",基本情報入力シート!C57)</f>
        <v>1334567892</v>
      </c>
      <c r="C23" s="1225"/>
      <c r="D23" s="1225"/>
      <c r="E23" s="1225"/>
      <c r="F23" s="1225"/>
      <c r="G23" s="1237" t="str">
        <f>IF(基本情報入力シート!M57="","",基本情報入力シート!M57)</f>
        <v>中央区</v>
      </c>
      <c r="H23" s="1237" t="str">
        <f>IF(基本情報入力シート!R57="","",基本情報入力シート!R57)</f>
        <v>東京都</v>
      </c>
      <c r="I23" s="1237" t="str">
        <f>IF(基本情報入力シート!W57="","",基本情報入力シート!W57)</f>
        <v>中央区</v>
      </c>
      <c r="J23" s="1237" t="str">
        <f>IF(基本情報入力シート!X57="","",基本情報入力シート!X57)</f>
        <v>○○の家</v>
      </c>
      <c r="K23" s="1237" t="str">
        <f>IF(基本情報入力シート!Y57="","",基本情報入力シート!Y57)</f>
        <v>（介護予防）小規模多機能型居宅介護</v>
      </c>
      <c r="L23" s="1240">
        <f>IF(基本情報入力シート!AB57="","",基本情報入力シート!AB57)</f>
        <v>345000</v>
      </c>
      <c r="M23" s="1243">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4"/>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IF(AG25&lt;&gt;"",IF(AH25="○","入力済","未入力"),"")</f>
        <v>未入力</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5" customHeight="1">
      <c r="A24" s="1229"/>
      <c r="B24" s="1226"/>
      <c r="C24" s="1226"/>
      <c r="D24" s="1226"/>
      <c r="E24" s="1226"/>
      <c r="F24" s="1226"/>
      <c r="G24" s="1238"/>
      <c r="H24" s="1238"/>
      <c r="I24" s="1238"/>
      <c r="J24" s="1238"/>
      <c r="K24" s="1238"/>
      <c r="L24" s="1241"/>
      <c r="M24" s="1244"/>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5" customHeight="1" thickBot="1">
      <c r="A25" s="1230"/>
      <c r="B25" s="1227"/>
      <c r="C25" s="1227"/>
      <c r="D25" s="1227"/>
      <c r="E25" s="1227"/>
      <c r="F25" s="1227"/>
      <c r="G25" s="1239"/>
      <c r="H25" s="1239"/>
      <c r="I25" s="1239"/>
      <c r="J25" s="1239"/>
      <c r="K25" s="1239"/>
      <c r="L25" s="1242"/>
      <c r="M25" s="1245"/>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4"/>
        <v>2</v>
      </c>
      <c r="AD25" s="587" t="s">
        <v>38</v>
      </c>
      <c r="AE25" s="602">
        <f>IFERROR(ROUNDDOWN(ROUND(L23*R25,0)*M23,0)*AC25,"")</f>
        <v>0</v>
      </c>
      <c r="AF25" s="591">
        <f>IFERROR(ROUNDDOWN(ROUND(L23*(R25-P25),0)*M23,0)*AC25,"")</f>
        <v>0</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5" customHeight="1">
      <c r="A26" s="1251">
        <v>5</v>
      </c>
      <c r="B26" s="1252">
        <f>IF(基本情報入力シート!C58="","",基本情報入力シート!C58)</f>
        <v>1334567893</v>
      </c>
      <c r="C26" s="1252"/>
      <c r="D26" s="1252"/>
      <c r="E26" s="1252"/>
      <c r="F26" s="1252"/>
      <c r="G26" s="1253" t="str">
        <f>IF(基本情報入力シート!M58="","",基本情報入力シート!M58)</f>
        <v>千葉県</v>
      </c>
      <c r="H26" s="1253" t="str">
        <f>IF(基本情報入力シート!R58="","",基本情報入力シート!R58)</f>
        <v>千葉県</v>
      </c>
      <c r="I26" s="1253" t="str">
        <f>IF(基本情報入力シート!W58="","",基本情報入力シート!W58)</f>
        <v>千葉市</v>
      </c>
      <c r="J26" s="1253" t="str">
        <f>IF(基本情報入力シート!X58="","",基本情報入力シート!X58)</f>
        <v>介護老人福祉施設○○園</v>
      </c>
      <c r="K26" s="1253" t="str">
        <f>IF(基本情報入力シート!Y58="","",基本情報入力シート!Y58)</f>
        <v>介護老人福祉施設</v>
      </c>
      <c r="L26" s="1280">
        <f>IF(基本情報入力シート!AB58="","",基本情報入力シート!AB58)</f>
        <v>1935000</v>
      </c>
      <c r="M26" s="128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4"/>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IF(AG28&lt;&gt;"",IF(AH28="○","入力済","未入力"),"")</f>
        <v>未入力</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5" customHeight="1">
      <c r="A27" s="1229"/>
      <c r="B27" s="1226"/>
      <c r="C27" s="1226"/>
      <c r="D27" s="1226"/>
      <c r="E27" s="1226"/>
      <c r="F27" s="1226"/>
      <c r="G27" s="1238"/>
      <c r="H27" s="1238"/>
      <c r="I27" s="1238"/>
      <c r="J27" s="1238"/>
      <c r="K27" s="1238"/>
      <c r="L27" s="1241"/>
      <c r="M27" s="1244"/>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5"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5" customHeight="1">
      <c r="A29" s="1228">
        <v>6</v>
      </c>
      <c r="B29" s="1225">
        <f>IF(基本情報入力シート!C59="","",基本情報入力シート!C59)</f>
        <v>1334567893</v>
      </c>
      <c r="C29" s="1225"/>
      <c r="D29" s="1225"/>
      <c r="E29" s="1225"/>
      <c r="F29" s="1225"/>
      <c r="G29" s="1237" t="str">
        <f>IF(基本情報入力シート!M59="","",基本情報入力シート!M59)</f>
        <v>千葉県</v>
      </c>
      <c r="H29" s="1237" t="str">
        <f>IF(基本情報入力シート!R59="","",基本情報入力シート!R59)</f>
        <v>千葉県</v>
      </c>
      <c r="I29" s="1237" t="str">
        <f>IF(基本情報入力シート!W59="","",基本情報入力シート!W59)</f>
        <v>千葉市</v>
      </c>
      <c r="J29" s="1237" t="str">
        <f>IF(基本情報入力シート!X59="","",基本情報入力シート!X59)</f>
        <v>介護老人福祉施設○○園</v>
      </c>
      <c r="K29" s="1237" t="str">
        <f>IF(基本情報入力シート!Y59="","",基本情報入力シート!Y59)</f>
        <v>介護老人福祉施設</v>
      </c>
      <c r="L29" s="1240">
        <f>IF(基本情報入力シート!AB59="","",基本情報入力シート!AB59)</f>
        <v>1935000</v>
      </c>
      <c r="M29" s="1243">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4"/>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17">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IF(AG31&lt;&gt;"",IF(AH31="○","入力済","未入力"),"")</f>
        <v>未入力</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5" customHeight="1">
      <c r="A30" s="1229"/>
      <c r="B30" s="1226"/>
      <c r="C30" s="1226"/>
      <c r="D30" s="1226"/>
      <c r="E30" s="1226"/>
      <c r="F30" s="1226"/>
      <c r="G30" s="1238"/>
      <c r="H30" s="1238"/>
      <c r="I30" s="1238"/>
      <c r="J30" s="1238"/>
      <c r="K30" s="1238"/>
      <c r="L30" s="1241"/>
      <c r="M30" s="1244"/>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4"/>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5" customHeight="1" thickBot="1">
      <c r="A31" s="1230"/>
      <c r="B31" s="1227"/>
      <c r="C31" s="1227"/>
      <c r="D31" s="1227"/>
      <c r="E31" s="1227"/>
      <c r="F31" s="1227"/>
      <c r="G31" s="1239"/>
      <c r="H31" s="1239"/>
      <c r="I31" s="1239"/>
      <c r="J31" s="1239"/>
      <c r="K31" s="1239"/>
      <c r="L31" s="1242"/>
      <c r="M31" s="1245"/>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4"/>
        <v>2</v>
      </c>
      <c r="AD31" s="223" t="s">
        <v>38</v>
      </c>
      <c r="AE31" s="608">
        <f>IFERROR(ROUNDDOWN(ROUND(L29*R31,0)*M29,0)*AC31,"")</f>
        <v>0</v>
      </c>
      <c r="AF31" s="591">
        <f>IFERROR(ROUNDDOWN(ROUND(L29*(R31-P31),0)*M29,0)*AC31,"")</f>
        <v>0</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5" customHeight="1">
      <c r="A32" s="1228">
        <v>7</v>
      </c>
      <c r="B32" s="1225">
        <f>IF(基本情報入力シート!C60="","",基本情報入力シート!C60)</f>
        <v>1334567894</v>
      </c>
      <c r="C32" s="1225"/>
      <c r="D32" s="1225"/>
      <c r="E32" s="1225"/>
      <c r="F32" s="1225"/>
      <c r="G32" s="1237" t="str">
        <f>IF(基本情報入力シート!M60="","",基本情報入力シート!M60)</f>
        <v>千葉県</v>
      </c>
      <c r="H32" s="1237" t="str">
        <f>IF(基本情報入力シート!R60="","",基本情報入力シート!R60)</f>
        <v>千葉県</v>
      </c>
      <c r="I32" s="1237" t="str">
        <f>IF(基本情報入力シート!W60="","",基本情報入力シート!W60)</f>
        <v>千葉市</v>
      </c>
      <c r="J32" s="1237" t="str">
        <f>IF(基本情報入力シート!X60="","",基本情報入力シート!X60)</f>
        <v>介護老人福祉施設○○園</v>
      </c>
      <c r="K32" s="1237" t="str">
        <f>IF(基本情報入力シート!Y60="","",基本情報入力シート!Y60)</f>
        <v>（介護予防）短期入所生活介護</v>
      </c>
      <c r="L32" s="1240">
        <f>IF(基本情報入力シート!AB60="","",基本情報入力シート!AB60)</f>
        <v>237000</v>
      </c>
      <c r="M32" s="1243">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4"/>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IF(AG34&lt;&gt;"",IF(AH34="○","入力済","未入力"),"")</f>
        <v>未入力</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5" customHeight="1">
      <c r="A33" s="1229"/>
      <c r="B33" s="1226"/>
      <c r="C33" s="1226"/>
      <c r="D33" s="1226"/>
      <c r="E33" s="1226"/>
      <c r="F33" s="1226"/>
      <c r="G33" s="1238"/>
      <c r="H33" s="1238"/>
      <c r="I33" s="1238"/>
      <c r="J33" s="1238"/>
      <c r="K33" s="1238"/>
      <c r="L33" s="1241"/>
      <c r="M33" s="1244"/>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4"/>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5" customHeight="1" thickBot="1">
      <c r="A34" s="1230"/>
      <c r="B34" s="1227"/>
      <c r="C34" s="1227"/>
      <c r="D34" s="1227"/>
      <c r="E34" s="1227"/>
      <c r="F34" s="1227"/>
      <c r="G34" s="1239"/>
      <c r="H34" s="1239"/>
      <c r="I34" s="1239"/>
      <c r="J34" s="1239"/>
      <c r="K34" s="1239"/>
      <c r="L34" s="1242"/>
      <c r="M34" s="1245"/>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4"/>
        <v>2</v>
      </c>
      <c r="AD34" s="587" t="s">
        <v>38</v>
      </c>
      <c r="AE34" s="590">
        <f>IFERROR(ROUNDDOWN(ROUND(L32*R34,0)*M32,0)*AC34,"")</f>
        <v>0</v>
      </c>
      <c r="AF34" s="591">
        <f>IFERROR(ROUNDDOWN(ROUND(L32*(R34-P34),0)*M32,0)*AC34,"")</f>
        <v>0</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5"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5" customHeight="1">
      <c r="A36" s="1229"/>
      <c r="B36" s="1226"/>
      <c r="C36" s="1226"/>
      <c r="D36" s="1226"/>
      <c r="E36" s="1226"/>
      <c r="F36" s="1226"/>
      <c r="G36" s="1238"/>
      <c r="H36" s="1238"/>
      <c r="I36" s="1238"/>
      <c r="J36" s="1238"/>
      <c r="K36" s="1238"/>
      <c r="L36" s="1241"/>
      <c r="M36" s="1244"/>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5"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5"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5" customHeight="1">
      <c r="A39" s="1229"/>
      <c r="B39" s="1226"/>
      <c r="C39" s="1226"/>
      <c r="D39" s="1226"/>
      <c r="E39" s="1226"/>
      <c r="F39" s="1226"/>
      <c r="G39" s="1238"/>
      <c r="H39" s="1238"/>
      <c r="I39" s="1238"/>
      <c r="J39" s="1238"/>
      <c r="K39" s="1238"/>
      <c r="L39" s="1241"/>
      <c r="M39" s="1244"/>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5"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5"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5" customHeight="1">
      <c r="A42" s="1229"/>
      <c r="B42" s="1226"/>
      <c r="C42" s="1226"/>
      <c r="D42" s="1226"/>
      <c r="E42" s="1226"/>
      <c r="F42" s="1226"/>
      <c r="G42" s="1238"/>
      <c r="H42" s="1238"/>
      <c r="I42" s="1238"/>
      <c r="J42" s="1238"/>
      <c r="K42" s="1238"/>
      <c r="L42" s="1241"/>
      <c r="M42" s="1244"/>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5"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5"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5" customHeight="1">
      <c r="A45" s="1229"/>
      <c r="B45" s="1226"/>
      <c r="C45" s="1226"/>
      <c r="D45" s="1226"/>
      <c r="E45" s="1226"/>
      <c r="F45" s="1226"/>
      <c r="G45" s="1238"/>
      <c r="H45" s="1238"/>
      <c r="I45" s="1238"/>
      <c r="J45" s="1238"/>
      <c r="K45" s="1238"/>
      <c r="L45" s="1241"/>
      <c r="M45" s="1244"/>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5"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5"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5" customHeight="1">
      <c r="A48" s="1229"/>
      <c r="B48" s="1226"/>
      <c r="C48" s="1226"/>
      <c r="D48" s="1226"/>
      <c r="E48" s="1226"/>
      <c r="F48" s="1226"/>
      <c r="G48" s="1238"/>
      <c r="H48" s="1238"/>
      <c r="I48" s="1238"/>
      <c r="J48" s="1238"/>
      <c r="K48" s="1238"/>
      <c r="L48" s="1241"/>
      <c r="M48" s="1244"/>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5"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5"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5" customHeight="1">
      <c r="A51" s="1229"/>
      <c r="B51" s="1226"/>
      <c r="C51" s="1226"/>
      <c r="D51" s="1226"/>
      <c r="E51" s="1226"/>
      <c r="F51" s="1226"/>
      <c r="G51" s="1238"/>
      <c r="H51" s="1238"/>
      <c r="I51" s="1238"/>
      <c r="J51" s="1238"/>
      <c r="K51" s="1238"/>
      <c r="L51" s="1241"/>
      <c r="M51" s="1244"/>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5"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5"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5" customHeight="1">
      <c r="A54" s="1229"/>
      <c r="B54" s="1226"/>
      <c r="C54" s="1226"/>
      <c r="D54" s="1226"/>
      <c r="E54" s="1226"/>
      <c r="F54" s="1226"/>
      <c r="G54" s="1238"/>
      <c r="H54" s="1238"/>
      <c r="I54" s="1238"/>
      <c r="J54" s="1238"/>
      <c r="K54" s="1238"/>
      <c r="L54" s="1241"/>
      <c r="M54" s="1244"/>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5"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5"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5" customHeight="1">
      <c r="A57" s="1229"/>
      <c r="B57" s="1226"/>
      <c r="C57" s="1226"/>
      <c r="D57" s="1226"/>
      <c r="E57" s="1226"/>
      <c r="F57" s="1226"/>
      <c r="G57" s="1238"/>
      <c r="H57" s="1238"/>
      <c r="I57" s="1238"/>
      <c r="J57" s="1238"/>
      <c r="K57" s="1238"/>
      <c r="L57" s="1241"/>
      <c r="M57" s="1244"/>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5"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5"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5" customHeight="1">
      <c r="A60" s="1229"/>
      <c r="B60" s="1226"/>
      <c r="C60" s="1226"/>
      <c r="D60" s="1226"/>
      <c r="E60" s="1226"/>
      <c r="F60" s="1226"/>
      <c r="G60" s="1238"/>
      <c r="H60" s="1238"/>
      <c r="I60" s="1238"/>
      <c r="J60" s="1238"/>
      <c r="K60" s="1238"/>
      <c r="L60" s="1241"/>
      <c r="M60" s="1244"/>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5"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5"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5" customHeight="1">
      <c r="A63" s="1229"/>
      <c r="B63" s="1226"/>
      <c r="C63" s="1226"/>
      <c r="D63" s="1226"/>
      <c r="E63" s="1226"/>
      <c r="F63" s="1226"/>
      <c r="G63" s="1238"/>
      <c r="H63" s="1238"/>
      <c r="I63" s="1238"/>
      <c r="J63" s="1238"/>
      <c r="K63" s="1238"/>
      <c r="L63" s="1241"/>
      <c r="M63" s="1244"/>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5"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5"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5" customHeight="1">
      <c r="A66" s="1229"/>
      <c r="B66" s="1226"/>
      <c r="C66" s="1226"/>
      <c r="D66" s="1226"/>
      <c r="E66" s="1226"/>
      <c r="F66" s="1226"/>
      <c r="G66" s="1238"/>
      <c r="H66" s="1238"/>
      <c r="I66" s="1238"/>
      <c r="J66" s="1238"/>
      <c r="K66" s="1238"/>
      <c r="L66" s="1241"/>
      <c r="M66" s="1244"/>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5"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5"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5" customHeight="1">
      <c r="A69" s="1229"/>
      <c r="B69" s="1226"/>
      <c r="C69" s="1226"/>
      <c r="D69" s="1226"/>
      <c r="E69" s="1226"/>
      <c r="F69" s="1226"/>
      <c r="G69" s="1238"/>
      <c r="H69" s="1238"/>
      <c r="I69" s="1238"/>
      <c r="J69" s="1238"/>
      <c r="K69" s="1238"/>
      <c r="L69" s="1241"/>
      <c r="M69" s="1244"/>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5"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5"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5" customHeight="1">
      <c r="A72" s="1229"/>
      <c r="B72" s="1226"/>
      <c r="C72" s="1226"/>
      <c r="D72" s="1226"/>
      <c r="E72" s="1226"/>
      <c r="F72" s="1226"/>
      <c r="G72" s="1238"/>
      <c r="H72" s="1238"/>
      <c r="I72" s="1238"/>
      <c r="J72" s="1238"/>
      <c r="K72" s="1238"/>
      <c r="L72" s="1241"/>
      <c r="M72" s="1244"/>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5"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5"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5" customHeight="1">
      <c r="A75" s="1229"/>
      <c r="B75" s="1226"/>
      <c r="C75" s="1226"/>
      <c r="D75" s="1226"/>
      <c r="E75" s="1226"/>
      <c r="F75" s="1226"/>
      <c r="G75" s="1238"/>
      <c r="H75" s="1238"/>
      <c r="I75" s="1238"/>
      <c r="J75" s="1238"/>
      <c r="K75" s="1238"/>
      <c r="L75" s="1241"/>
      <c r="M75" s="1244"/>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5"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5"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5" customHeight="1">
      <c r="A78" s="1229"/>
      <c r="B78" s="1226"/>
      <c r="C78" s="1226"/>
      <c r="D78" s="1226"/>
      <c r="E78" s="1226"/>
      <c r="F78" s="1226"/>
      <c r="G78" s="1238"/>
      <c r="H78" s="1238"/>
      <c r="I78" s="1238"/>
      <c r="J78" s="1238"/>
      <c r="K78" s="1238"/>
      <c r="L78" s="1241"/>
      <c r="M78" s="1244"/>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5"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5"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5" customHeight="1">
      <c r="A81" s="1229"/>
      <c r="B81" s="1226"/>
      <c r="C81" s="1226"/>
      <c r="D81" s="1226"/>
      <c r="E81" s="1226"/>
      <c r="F81" s="1226"/>
      <c r="G81" s="1238"/>
      <c r="H81" s="1238"/>
      <c r="I81" s="1238"/>
      <c r="J81" s="1238"/>
      <c r="K81" s="1238"/>
      <c r="L81" s="1241"/>
      <c r="M81" s="1244"/>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5"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5"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5" customHeight="1">
      <c r="A84" s="1229"/>
      <c r="B84" s="1226"/>
      <c r="C84" s="1226"/>
      <c r="D84" s="1226"/>
      <c r="E84" s="1226"/>
      <c r="F84" s="1226"/>
      <c r="G84" s="1238"/>
      <c r="H84" s="1238"/>
      <c r="I84" s="1238"/>
      <c r="J84" s="1238"/>
      <c r="K84" s="1238"/>
      <c r="L84" s="1241"/>
      <c r="M84" s="1244"/>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5"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5"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5" customHeight="1">
      <c r="A87" s="1229"/>
      <c r="B87" s="1226"/>
      <c r="C87" s="1226"/>
      <c r="D87" s="1226"/>
      <c r="E87" s="1226"/>
      <c r="F87" s="1226"/>
      <c r="G87" s="1238"/>
      <c r="H87" s="1238"/>
      <c r="I87" s="1238"/>
      <c r="J87" s="1238"/>
      <c r="K87" s="1238"/>
      <c r="L87" s="1241"/>
      <c r="M87" s="1244"/>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5"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5"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5" customHeight="1">
      <c r="A90" s="1229"/>
      <c r="B90" s="1226"/>
      <c r="C90" s="1226"/>
      <c r="D90" s="1226"/>
      <c r="E90" s="1226"/>
      <c r="F90" s="1226"/>
      <c r="G90" s="1238"/>
      <c r="H90" s="1238"/>
      <c r="I90" s="1238"/>
      <c r="J90" s="1238"/>
      <c r="K90" s="1238"/>
      <c r="L90" s="1241"/>
      <c r="M90" s="1244"/>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5"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5"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5" customHeight="1">
      <c r="A93" s="1229"/>
      <c r="B93" s="1226"/>
      <c r="C93" s="1226"/>
      <c r="D93" s="1226"/>
      <c r="E93" s="1226"/>
      <c r="F93" s="1226"/>
      <c r="G93" s="1238"/>
      <c r="H93" s="1238"/>
      <c r="I93" s="1238"/>
      <c r="J93" s="1238"/>
      <c r="K93" s="1238"/>
      <c r="L93" s="1241"/>
      <c r="M93" s="1244"/>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5"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5"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5" customHeight="1">
      <c r="A96" s="1229"/>
      <c r="B96" s="1226"/>
      <c r="C96" s="1226"/>
      <c r="D96" s="1226"/>
      <c r="E96" s="1226"/>
      <c r="F96" s="1226"/>
      <c r="G96" s="1238"/>
      <c r="H96" s="1238"/>
      <c r="I96" s="1238"/>
      <c r="J96" s="1238"/>
      <c r="K96" s="1238"/>
      <c r="L96" s="1241"/>
      <c r="M96" s="1244"/>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5"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5"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5" customHeight="1">
      <c r="A99" s="1229"/>
      <c r="B99" s="1226"/>
      <c r="C99" s="1226"/>
      <c r="D99" s="1226"/>
      <c r="E99" s="1226"/>
      <c r="F99" s="1226"/>
      <c r="G99" s="1238"/>
      <c r="H99" s="1238"/>
      <c r="I99" s="1238"/>
      <c r="J99" s="1238"/>
      <c r="K99" s="1238"/>
      <c r="L99" s="1241"/>
      <c r="M99" s="1244"/>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5"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5"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5" customHeight="1">
      <c r="A102" s="1229"/>
      <c r="B102" s="1226"/>
      <c r="C102" s="1226"/>
      <c r="D102" s="1226"/>
      <c r="E102" s="1226"/>
      <c r="F102" s="1226"/>
      <c r="G102" s="1238"/>
      <c r="H102" s="1238"/>
      <c r="I102" s="1238"/>
      <c r="J102" s="1238"/>
      <c r="K102" s="1238"/>
      <c r="L102" s="1241"/>
      <c r="M102" s="1244"/>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5"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5"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5" customHeight="1">
      <c r="A105" s="1229"/>
      <c r="B105" s="1226"/>
      <c r="C105" s="1226"/>
      <c r="D105" s="1226"/>
      <c r="E105" s="1226"/>
      <c r="F105" s="1226"/>
      <c r="G105" s="1238"/>
      <c r="H105" s="1238"/>
      <c r="I105" s="1238"/>
      <c r="J105" s="1238"/>
      <c r="K105" s="1238"/>
      <c r="L105" s="1241"/>
      <c r="M105" s="1244"/>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5"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5"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5" customHeight="1">
      <c r="A108" s="1229"/>
      <c r="B108" s="1226"/>
      <c r="C108" s="1226"/>
      <c r="D108" s="1226"/>
      <c r="E108" s="1226"/>
      <c r="F108" s="1226"/>
      <c r="G108" s="1238"/>
      <c r="H108" s="1238"/>
      <c r="I108" s="1238"/>
      <c r="J108" s="1238"/>
      <c r="K108" s="1238"/>
      <c r="L108" s="1241"/>
      <c r="M108" s="1244"/>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5"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5"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5" customHeight="1">
      <c r="A111" s="1229"/>
      <c r="B111" s="1226"/>
      <c r="C111" s="1226"/>
      <c r="D111" s="1226"/>
      <c r="E111" s="1226"/>
      <c r="F111" s="1226"/>
      <c r="G111" s="1238"/>
      <c r="H111" s="1238"/>
      <c r="I111" s="1238"/>
      <c r="J111" s="1238"/>
      <c r="K111" s="1238"/>
      <c r="L111" s="1241"/>
      <c r="M111" s="1244"/>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5"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5"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5" customHeight="1">
      <c r="A114" s="1229"/>
      <c r="B114" s="1226"/>
      <c r="C114" s="1226"/>
      <c r="D114" s="1226"/>
      <c r="E114" s="1226"/>
      <c r="F114" s="1226"/>
      <c r="G114" s="1238"/>
      <c r="H114" s="1238"/>
      <c r="I114" s="1238"/>
      <c r="J114" s="1238"/>
      <c r="K114" s="1238"/>
      <c r="L114" s="1241"/>
      <c r="M114" s="1244"/>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5"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5"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5" customHeight="1">
      <c r="A117" s="1229"/>
      <c r="B117" s="1226"/>
      <c r="C117" s="1226"/>
      <c r="D117" s="1226"/>
      <c r="E117" s="1226"/>
      <c r="F117" s="1226"/>
      <c r="G117" s="1238"/>
      <c r="H117" s="1238"/>
      <c r="I117" s="1238"/>
      <c r="J117" s="1238"/>
      <c r="K117" s="1238"/>
      <c r="L117" s="1241"/>
      <c r="M117" s="1244"/>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5"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5"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5" customHeight="1">
      <c r="A120" s="1229"/>
      <c r="B120" s="1226"/>
      <c r="C120" s="1226"/>
      <c r="D120" s="1226"/>
      <c r="E120" s="1226"/>
      <c r="F120" s="1226"/>
      <c r="G120" s="1238"/>
      <c r="H120" s="1238"/>
      <c r="I120" s="1238"/>
      <c r="J120" s="1238"/>
      <c r="K120" s="1238"/>
      <c r="L120" s="1241"/>
      <c r="M120" s="1244"/>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5"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5"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5" customHeight="1">
      <c r="A123" s="1229"/>
      <c r="B123" s="1226"/>
      <c r="C123" s="1226"/>
      <c r="D123" s="1226"/>
      <c r="E123" s="1226"/>
      <c r="F123" s="1226"/>
      <c r="G123" s="1238"/>
      <c r="H123" s="1238"/>
      <c r="I123" s="1238"/>
      <c r="J123" s="1238"/>
      <c r="K123" s="1238"/>
      <c r="L123" s="1241"/>
      <c r="M123" s="1244"/>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5"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5"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5" customHeight="1">
      <c r="A126" s="1229"/>
      <c r="B126" s="1226"/>
      <c r="C126" s="1226"/>
      <c r="D126" s="1226"/>
      <c r="E126" s="1226"/>
      <c r="F126" s="1226"/>
      <c r="G126" s="1238"/>
      <c r="H126" s="1238"/>
      <c r="I126" s="1238"/>
      <c r="J126" s="1238"/>
      <c r="K126" s="1238"/>
      <c r="L126" s="1241"/>
      <c r="M126" s="1244"/>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5"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5"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5" customHeight="1">
      <c r="A129" s="1229"/>
      <c r="B129" s="1226"/>
      <c r="C129" s="1226"/>
      <c r="D129" s="1226"/>
      <c r="E129" s="1226"/>
      <c r="F129" s="1226"/>
      <c r="G129" s="1238"/>
      <c r="H129" s="1238"/>
      <c r="I129" s="1238"/>
      <c r="J129" s="1238"/>
      <c r="K129" s="1238"/>
      <c r="L129" s="1241"/>
      <c r="M129" s="1244"/>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5"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5"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5" customHeight="1">
      <c r="A132" s="1229"/>
      <c r="B132" s="1226"/>
      <c r="C132" s="1226"/>
      <c r="D132" s="1226"/>
      <c r="E132" s="1226"/>
      <c r="F132" s="1226"/>
      <c r="G132" s="1238"/>
      <c r="H132" s="1238"/>
      <c r="I132" s="1238"/>
      <c r="J132" s="1238"/>
      <c r="K132" s="1238"/>
      <c r="L132" s="1241"/>
      <c r="M132" s="1244"/>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5"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5"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5" customHeight="1">
      <c r="A135" s="1229"/>
      <c r="B135" s="1226"/>
      <c r="C135" s="1226"/>
      <c r="D135" s="1226"/>
      <c r="E135" s="1226"/>
      <c r="F135" s="1226"/>
      <c r="G135" s="1238"/>
      <c r="H135" s="1238"/>
      <c r="I135" s="1238"/>
      <c r="J135" s="1238"/>
      <c r="K135" s="1238"/>
      <c r="L135" s="1241"/>
      <c r="M135" s="1244"/>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5"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5"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5" customHeight="1">
      <c r="A138" s="1229"/>
      <c r="B138" s="1226"/>
      <c r="C138" s="1226"/>
      <c r="D138" s="1226"/>
      <c r="E138" s="1226"/>
      <c r="F138" s="1226"/>
      <c r="G138" s="1238"/>
      <c r="H138" s="1238"/>
      <c r="I138" s="1238"/>
      <c r="J138" s="1238"/>
      <c r="K138" s="1238"/>
      <c r="L138" s="1241"/>
      <c r="M138" s="1244"/>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5"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5"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5" customHeight="1">
      <c r="A141" s="1229"/>
      <c r="B141" s="1226"/>
      <c r="C141" s="1226"/>
      <c r="D141" s="1226"/>
      <c r="E141" s="1226"/>
      <c r="F141" s="1226"/>
      <c r="G141" s="1238"/>
      <c r="H141" s="1238"/>
      <c r="I141" s="1238"/>
      <c r="J141" s="1238"/>
      <c r="K141" s="1238"/>
      <c r="L141" s="1241"/>
      <c r="M141" s="1244"/>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5"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5"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5" customHeight="1">
      <c r="A144" s="1229"/>
      <c r="B144" s="1226"/>
      <c r="C144" s="1226"/>
      <c r="D144" s="1226"/>
      <c r="E144" s="1226"/>
      <c r="F144" s="1226"/>
      <c r="G144" s="1238"/>
      <c r="H144" s="1238"/>
      <c r="I144" s="1238"/>
      <c r="J144" s="1238"/>
      <c r="K144" s="1238"/>
      <c r="L144" s="1241"/>
      <c r="M144" s="1244"/>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5"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5"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5" customHeight="1">
      <c r="A147" s="1229"/>
      <c r="B147" s="1226"/>
      <c r="C147" s="1226"/>
      <c r="D147" s="1226"/>
      <c r="E147" s="1226"/>
      <c r="F147" s="1226"/>
      <c r="G147" s="1238"/>
      <c r="H147" s="1238"/>
      <c r="I147" s="1238"/>
      <c r="J147" s="1238"/>
      <c r="K147" s="1238"/>
      <c r="L147" s="1241"/>
      <c r="M147" s="1244"/>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5"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5"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5" customHeight="1">
      <c r="A150" s="1229"/>
      <c r="B150" s="1226"/>
      <c r="C150" s="1226"/>
      <c r="D150" s="1226"/>
      <c r="E150" s="1226"/>
      <c r="F150" s="1226"/>
      <c r="G150" s="1238"/>
      <c r="H150" s="1238"/>
      <c r="I150" s="1238"/>
      <c r="J150" s="1238"/>
      <c r="K150" s="1238"/>
      <c r="L150" s="1241"/>
      <c r="M150" s="1244"/>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5"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5"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5" customHeight="1">
      <c r="A153" s="1229"/>
      <c r="B153" s="1226"/>
      <c r="C153" s="1226"/>
      <c r="D153" s="1226"/>
      <c r="E153" s="1226"/>
      <c r="F153" s="1226"/>
      <c r="G153" s="1238"/>
      <c r="H153" s="1238"/>
      <c r="I153" s="1238"/>
      <c r="J153" s="1238"/>
      <c r="K153" s="1238"/>
      <c r="L153" s="1241"/>
      <c r="M153" s="1244"/>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5"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5"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5" customHeight="1">
      <c r="A156" s="1229"/>
      <c r="B156" s="1226"/>
      <c r="C156" s="1226"/>
      <c r="D156" s="1226"/>
      <c r="E156" s="1226"/>
      <c r="F156" s="1226"/>
      <c r="G156" s="1238"/>
      <c r="H156" s="1238"/>
      <c r="I156" s="1238"/>
      <c r="J156" s="1238"/>
      <c r="K156" s="1238"/>
      <c r="L156" s="1241"/>
      <c r="M156" s="1244"/>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5"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5"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5" customHeight="1">
      <c r="A159" s="1229"/>
      <c r="B159" s="1226"/>
      <c r="C159" s="1226"/>
      <c r="D159" s="1226"/>
      <c r="E159" s="1226"/>
      <c r="F159" s="1226"/>
      <c r="G159" s="1238"/>
      <c r="H159" s="1238"/>
      <c r="I159" s="1238"/>
      <c r="J159" s="1238"/>
      <c r="K159" s="1238"/>
      <c r="L159" s="1241"/>
      <c r="M159" s="1244"/>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5"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5"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5" customHeight="1">
      <c r="A162" s="1229"/>
      <c r="B162" s="1226"/>
      <c r="C162" s="1226"/>
      <c r="D162" s="1226"/>
      <c r="E162" s="1226"/>
      <c r="F162" s="1226"/>
      <c r="G162" s="1238"/>
      <c r="H162" s="1238"/>
      <c r="I162" s="1238"/>
      <c r="J162" s="1238"/>
      <c r="K162" s="1238"/>
      <c r="L162" s="1241"/>
      <c r="M162" s="1244"/>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5"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5"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5" customHeight="1">
      <c r="A165" s="1229"/>
      <c r="B165" s="1226"/>
      <c r="C165" s="1226"/>
      <c r="D165" s="1226"/>
      <c r="E165" s="1226"/>
      <c r="F165" s="1226"/>
      <c r="G165" s="1238"/>
      <c r="H165" s="1238"/>
      <c r="I165" s="1238"/>
      <c r="J165" s="1238"/>
      <c r="K165" s="1238"/>
      <c r="L165" s="1241"/>
      <c r="M165" s="1244"/>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5"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5"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5" customHeight="1">
      <c r="A168" s="1229"/>
      <c r="B168" s="1226"/>
      <c r="C168" s="1226"/>
      <c r="D168" s="1226"/>
      <c r="E168" s="1226"/>
      <c r="F168" s="1226"/>
      <c r="G168" s="1238"/>
      <c r="H168" s="1238"/>
      <c r="I168" s="1238"/>
      <c r="J168" s="1238"/>
      <c r="K168" s="1238"/>
      <c r="L168" s="1241"/>
      <c r="M168" s="1244"/>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5"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5"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5" customHeight="1">
      <c r="A171" s="1229"/>
      <c r="B171" s="1226"/>
      <c r="C171" s="1226"/>
      <c r="D171" s="1226"/>
      <c r="E171" s="1226"/>
      <c r="F171" s="1226"/>
      <c r="G171" s="1238"/>
      <c r="H171" s="1238"/>
      <c r="I171" s="1238"/>
      <c r="J171" s="1238"/>
      <c r="K171" s="1238"/>
      <c r="L171" s="1241"/>
      <c r="M171" s="1244"/>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5"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5"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5" customHeight="1">
      <c r="A174" s="1229"/>
      <c r="B174" s="1226"/>
      <c r="C174" s="1226"/>
      <c r="D174" s="1226"/>
      <c r="E174" s="1226"/>
      <c r="F174" s="1226"/>
      <c r="G174" s="1238"/>
      <c r="H174" s="1238"/>
      <c r="I174" s="1238"/>
      <c r="J174" s="1238"/>
      <c r="K174" s="1238"/>
      <c r="L174" s="1241"/>
      <c r="M174" s="1244"/>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5"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5"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5" customHeight="1">
      <c r="A177" s="1229"/>
      <c r="B177" s="1226"/>
      <c r="C177" s="1226"/>
      <c r="D177" s="1226"/>
      <c r="E177" s="1226"/>
      <c r="F177" s="1226"/>
      <c r="G177" s="1238"/>
      <c r="H177" s="1238"/>
      <c r="I177" s="1238"/>
      <c r="J177" s="1238"/>
      <c r="K177" s="1238"/>
      <c r="L177" s="1241"/>
      <c r="M177" s="1244"/>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5"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5"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5" customHeight="1">
      <c r="A180" s="1229"/>
      <c r="B180" s="1226"/>
      <c r="C180" s="1226"/>
      <c r="D180" s="1226"/>
      <c r="E180" s="1226"/>
      <c r="F180" s="1226"/>
      <c r="G180" s="1238"/>
      <c r="H180" s="1238"/>
      <c r="I180" s="1238"/>
      <c r="J180" s="1238"/>
      <c r="K180" s="1238"/>
      <c r="L180" s="1241"/>
      <c r="M180" s="1244"/>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5"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5"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5" customHeight="1">
      <c r="A183" s="1229"/>
      <c r="B183" s="1226"/>
      <c r="C183" s="1226"/>
      <c r="D183" s="1226"/>
      <c r="E183" s="1226"/>
      <c r="F183" s="1226"/>
      <c r="G183" s="1238"/>
      <c r="H183" s="1238"/>
      <c r="I183" s="1238"/>
      <c r="J183" s="1238"/>
      <c r="K183" s="1238"/>
      <c r="L183" s="1241"/>
      <c r="M183" s="1244"/>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5"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5"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5" customHeight="1">
      <c r="A186" s="1229"/>
      <c r="B186" s="1226"/>
      <c r="C186" s="1226"/>
      <c r="D186" s="1226"/>
      <c r="E186" s="1226"/>
      <c r="F186" s="1226"/>
      <c r="G186" s="1238"/>
      <c r="H186" s="1238"/>
      <c r="I186" s="1238"/>
      <c r="J186" s="1238"/>
      <c r="K186" s="1238"/>
      <c r="L186" s="1241"/>
      <c r="M186" s="1244"/>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5"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5"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5" customHeight="1">
      <c r="A189" s="1229"/>
      <c r="B189" s="1226"/>
      <c r="C189" s="1226"/>
      <c r="D189" s="1226"/>
      <c r="E189" s="1226"/>
      <c r="F189" s="1226"/>
      <c r="G189" s="1238"/>
      <c r="H189" s="1238"/>
      <c r="I189" s="1238"/>
      <c r="J189" s="1238"/>
      <c r="K189" s="1238"/>
      <c r="L189" s="1241"/>
      <c r="M189" s="1244"/>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5"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5"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5" customHeight="1">
      <c r="A192" s="1229"/>
      <c r="B192" s="1226"/>
      <c r="C192" s="1226"/>
      <c r="D192" s="1226"/>
      <c r="E192" s="1226"/>
      <c r="F192" s="1226"/>
      <c r="G192" s="1238"/>
      <c r="H192" s="1238"/>
      <c r="I192" s="1238"/>
      <c r="J192" s="1238"/>
      <c r="K192" s="1238"/>
      <c r="L192" s="1241"/>
      <c r="M192" s="1244"/>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5"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5"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5" customHeight="1">
      <c r="A195" s="1229"/>
      <c r="B195" s="1226"/>
      <c r="C195" s="1226"/>
      <c r="D195" s="1226"/>
      <c r="E195" s="1226"/>
      <c r="F195" s="1226"/>
      <c r="G195" s="1238"/>
      <c r="H195" s="1238"/>
      <c r="I195" s="1238"/>
      <c r="J195" s="1238"/>
      <c r="K195" s="1238"/>
      <c r="L195" s="1241"/>
      <c r="M195" s="1244"/>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5"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5"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5" customHeight="1">
      <c r="A198" s="1229"/>
      <c r="B198" s="1226"/>
      <c r="C198" s="1226"/>
      <c r="D198" s="1226"/>
      <c r="E198" s="1226"/>
      <c r="F198" s="1226"/>
      <c r="G198" s="1238"/>
      <c r="H198" s="1238"/>
      <c r="I198" s="1238"/>
      <c r="J198" s="1238"/>
      <c r="K198" s="1238"/>
      <c r="L198" s="1241"/>
      <c r="M198" s="1244"/>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5"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5"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5" customHeight="1">
      <c r="A201" s="1229"/>
      <c r="B201" s="1226"/>
      <c r="C201" s="1226"/>
      <c r="D201" s="1226"/>
      <c r="E201" s="1226"/>
      <c r="F201" s="1226"/>
      <c r="G201" s="1238"/>
      <c r="H201" s="1238"/>
      <c r="I201" s="1238"/>
      <c r="J201" s="1238"/>
      <c r="K201" s="1238"/>
      <c r="L201" s="1241"/>
      <c r="M201" s="1244"/>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5"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5"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5" customHeight="1">
      <c r="A204" s="1229"/>
      <c r="B204" s="1226"/>
      <c r="C204" s="1226"/>
      <c r="D204" s="1226"/>
      <c r="E204" s="1226"/>
      <c r="F204" s="1226"/>
      <c r="G204" s="1238"/>
      <c r="H204" s="1238"/>
      <c r="I204" s="1238"/>
      <c r="J204" s="1238"/>
      <c r="K204" s="1238"/>
      <c r="L204" s="1241"/>
      <c r="M204" s="1244"/>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5"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5"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5" customHeight="1">
      <c r="A207" s="1229"/>
      <c r="B207" s="1226"/>
      <c r="C207" s="1226"/>
      <c r="D207" s="1226"/>
      <c r="E207" s="1226"/>
      <c r="F207" s="1226"/>
      <c r="G207" s="1238"/>
      <c r="H207" s="1238"/>
      <c r="I207" s="1238"/>
      <c r="J207" s="1238"/>
      <c r="K207" s="1238"/>
      <c r="L207" s="1241"/>
      <c r="M207" s="1244"/>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5"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5"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5" customHeight="1">
      <c r="A210" s="1229"/>
      <c r="B210" s="1226"/>
      <c r="C210" s="1226"/>
      <c r="D210" s="1226"/>
      <c r="E210" s="1226"/>
      <c r="F210" s="1226"/>
      <c r="G210" s="1238"/>
      <c r="H210" s="1238"/>
      <c r="I210" s="1238"/>
      <c r="J210" s="1238"/>
      <c r="K210" s="1238"/>
      <c r="L210" s="1241"/>
      <c r="M210" s="1244"/>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5"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5"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5" customHeight="1">
      <c r="A213" s="1229"/>
      <c r="B213" s="1226"/>
      <c r="C213" s="1226"/>
      <c r="D213" s="1226"/>
      <c r="E213" s="1226"/>
      <c r="F213" s="1226"/>
      <c r="G213" s="1238"/>
      <c r="H213" s="1238"/>
      <c r="I213" s="1238"/>
      <c r="J213" s="1238"/>
      <c r="K213" s="1238"/>
      <c r="L213" s="1241"/>
      <c r="M213" s="1244"/>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5"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5"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5" customHeight="1">
      <c r="A216" s="1229"/>
      <c r="B216" s="1226"/>
      <c r="C216" s="1226"/>
      <c r="D216" s="1226"/>
      <c r="E216" s="1226"/>
      <c r="F216" s="1226"/>
      <c r="G216" s="1238"/>
      <c r="H216" s="1238"/>
      <c r="I216" s="1238"/>
      <c r="J216" s="1238"/>
      <c r="K216" s="1238"/>
      <c r="L216" s="1241"/>
      <c r="M216" s="1244"/>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5"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5"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5" customHeight="1">
      <c r="A219" s="1229"/>
      <c r="B219" s="1226"/>
      <c r="C219" s="1226"/>
      <c r="D219" s="1226"/>
      <c r="E219" s="1226"/>
      <c r="F219" s="1226"/>
      <c r="G219" s="1238"/>
      <c r="H219" s="1238"/>
      <c r="I219" s="1238"/>
      <c r="J219" s="1238"/>
      <c r="K219" s="1238"/>
      <c r="L219" s="1241"/>
      <c r="M219" s="1244"/>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5"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5"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5" customHeight="1">
      <c r="A222" s="1229"/>
      <c r="B222" s="1226"/>
      <c r="C222" s="1226"/>
      <c r="D222" s="1226"/>
      <c r="E222" s="1226"/>
      <c r="F222" s="1226"/>
      <c r="G222" s="1238"/>
      <c r="H222" s="1238"/>
      <c r="I222" s="1238"/>
      <c r="J222" s="1238"/>
      <c r="K222" s="1238"/>
      <c r="L222" s="1241"/>
      <c r="M222" s="1244"/>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5"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5"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5" customHeight="1">
      <c r="A225" s="1229"/>
      <c r="B225" s="1226"/>
      <c r="C225" s="1226"/>
      <c r="D225" s="1226"/>
      <c r="E225" s="1226"/>
      <c r="F225" s="1226"/>
      <c r="G225" s="1238"/>
      <c r="H225" s="1238"/>
      <c r="I225" s="1238"/>
      <c r="J225" s="1238"/>
      <c r="K225" s="1238"/>
      <c r="L225" s="1241"/>
      <c r="M225" s="1244"/>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5"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5"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5" customHeight="1">
      <c r="A228" s="1229"/>
      <c r="B228" s="1226"/>
      <c r="C228" s="1226"/>
      <c r="D228" s="1226"/>
      <c r="E228" s="1226"/>
      <c r="F228" s="1226"/>
      <c r="G228" s="1238"/>
      <c r="H228" s="1238"/>
      <c r="I228" s="1238"/>
      <c r="J228" s="1238"/>
      <c r="K228" s="1238"/>
      <c r="L228" s="1241"/>
      <c r="M228" s="1244"/>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5"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5"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5" customHeight="1">
      <c r="A231" s="1229"/>
      <c r="B231" s="1226"/>
      <c r="C231" s="1226"/>
      <c r="D231" s="1226"/>
      <c r="E231" s="1226"/>
      <c r="F231" s="1226"/>
      <c r="G231" s="1238"/>
      <c r="H231" s="1238"/>
      <c r="I231" s="1238"/>
      <c r="J231" s="1238"/>
      <c r="K231" s="1238"/>
      <c r="L231" s="1241"/>
      <c r="M231" s="1244"/>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5"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5"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5" customHeight="1">
      <c r="A234" s="1229"/>
      <c r="B234" s="1226"/>
      <c r="C234" s="1226"/>
      <c r="D234" s="1226"/>
      <c r="E234" s="1226"/>
      <c r="F234" s="1226"/>
      <c r="G234" s="1238"/>
      <c r="H234" s="1238"/>
      <c r="I234" s="1238"/>
      <c r="J234" s="1238"/>
      <c r="K234" s="1238"/>
      <c r="L234" s="1241"/>
      <c r="M234" s="1244"/>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5"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5"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5" customHeight="1">
      <c r="A237" s="1229"/>
      <c r="B237" s="1226"/>
      <c r="C237" s="1226"/>
      <c r="D237" s="1226"/>
      <c r="E237" s="1226"/>
      <c r="F237" s="1226"/>
      <c r="G237" s="1238"/>
      <c r="H237" s="1238"/>
      <c r="I237" s="1238"/>
      <c r="J237" s="1238"/>
      <c r="K237" s="1238"/>
      <c r="L237" s="1241"/>
      <c r="M237" s="1244"/>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5"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5"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5" customHeight="1">
      <c r="A240" s="1229"/>
      <c r="B240" s="1226"/>
      <c r="C240" s="1226"/>
      <c r="D240" s="1226"/>
      <c r="E240" s="1226"/>
      <c r="F240" s="1226"/>
      <c r="G240" s="1238"/>
      <c r="H240" s="1238"/>
      <c r="I240" s="1238"/>
      <c r="J240" s="1238"/>
      <c r="K240" s="1238"/>
      <c r="L240" s="1241"/>
      <c r="M240" s="1244"/>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5"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5"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5" customHeight="1">
      <c r="A243" s="1229"/>
      <c r="B243" s="1226"/>
      <c r="C243" s="1226"/>
      <c r="D243" s="1226"/>
      <c r="E243" s="1226"/>
      <c r="F243" s="1226"/>
      <c r="G243" s="1238"/>
      <c r="H243" s="1238"/>
      <c r="I243" s="1238"/>
      <c r="J243" s="1238"/>
      <c r="K243" s="1238"/>
      <c r="L243" s="1241"/>
      <c r="M243" s="1244"/>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5"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5"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5" customHeight="1">
      <c r="A246" s="1229"/>
      <c r="B246" s="1226"/>
      <c r="C246" s="1226"/>
      <c r="D246" s="1226"/>
      <c r="E246" s="1226"/>
      <c r="F246" s="1226"/>
      <c r="G246" s="1238"/>
      <c r="H246" s="1238"/>
      <c r="I246" s="1238"/>
      <c r="J246" s="1238"/>
      <c r="K246" s="1238"/>
      <c r="L246" s="1241"/>
      <c r="M246" s="1244"/>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5"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5"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5" customHeight="1">
      <c r="A249" s="1229"/>
      <c r="B249" s="1226"/>
      <c r="C249" s="1226"/>
      <c r="D249" s="1226"/>
      <c r="E249" s="1226"/>
      <c r="F249" s="1226"/>
      <c r="G249" s="1238"/>
      <c r="H249" s="1238"/>
      <c r="I249" s="1238"/>
      <c r="J249" s="1238"/>
      <c r="K249" s="1238"/>
      <c r="L249" s="1241"/>
      <c r="M249" s="1244"/>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5"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5"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5" customHeight="1">
      <c r="A252" s="1229"/>
      <c r="B252" s="1226"/>
      <c r="C252" s="1226"/>
      <c r="D252" s="1226"/>
      <c r="E252" s="1226"/>
      <c r="F252" s="1226"/>
      <c r="G252" s="1238"/>
      <c r="H252" s="1238"/>
      <c r="I252" s="1238"/>
      <c r="J252" s="1238"/>
      <c r="K252" s="1238"/>
      <c r="L252" s="1241"/>
      <c r="M252" s="1244"/>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5"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5"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5" customHeight="1">
      <c r="A255" s="1229"/>
      <c r="B255" s="1226"/>
      <c r="C255" s="1226"/>
      <c r="D255" s="1226"/>
      <c r="E255" s="1226"/>
      <c r="F255" s="1226"/>
      <c r="G255" s="1238"/>
      <c r="H255" s="1238"/>
      <c r="I255" s="1238"/>
      <c r="J255" s="1238"/>
      <c r="K255" s="1238"/>
      <c r="L255" s="1241"/>
      <c r="M255" s="1244"/>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5"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5"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5" customHeight="1">
      <c r="A258" s="1229"/>
      <c r="B258" s="1226"/>
      <c r="C258" s="1226"/>
      <c r="D258" s="1226"/>
      <c r="E258" s="1226"/>
      <c r="F258" s="1226"/>
      <c r="G258" s="1238"/>
      <c r="H258" s="1238"/>
      <c r="I258" s="1238"/>
      <c r="J258" s="1238"/>
      <c r="K258" s="1238"/>
      <c r="L258" s="1241"/>
      <c r="M258" s="1244"/>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5"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5"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5" customHeight="1">
      <c r="A261" s="1229"/>
      <c r="B261" s="1226"/>
      <c r="C261" s="1226"/>
      <c r="D261" s="1226"/>
      <c r="E261" s="1226"/>
      <c r="F261" s="1226"/>
      <c r="G261" s="1238"/>
      <c r="H261" s="1238"/>
      <c r="I261" s="1238"/>
      <c r="J261" s="1238"/>
      <c r="K261" s="1238"/>
      <c r="L261" s="1241"/>
      <c r="M261" s="1244"/>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5"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5"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5" customHeight="1">
      <c r="A264" s="1229"/>
      <c r="B264" s="1226"/>
      <c r="C264" s="1226"/>
      <c r="D264" s="1226"/>
      <c r="E264" s="1226"/>
      <c r="F264" s="1226"/>
      <c r="G264" s="1238"/>
      <c r="H264" s="1238"/>
      <c r="I264" s="1238"/>
      <c r="J264" s="1238"/>
      <c r="K264" s="1238"/>
      <c r="L264" s="1241"/>
      <c r="M264" s="1244"/>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5"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5"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5" customHeight="1">
      <c r="A267" s="1229"/>
      <c r="B267" s="1226"/>
      <c r="C267" s="1226"/>
      <c r="D267" s="1226"/>
      <c r="E267" s="1226"/>
      <c r="F267" s="1226"/>
      <c r="G267" s="1238"/>
      <c r="H267" s="1238"/>
      <c r="I267" s="1238"/>
      <c r="J267" s="1238"/>
      <c r="K267" s="1238"/>
      <c r="L267" s="1241"/>
      <c r="M267" s="1244"/>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5"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5"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5" customHeight="1">
      <c r="A270" s="1229"/>
      <c r="B270" s="1226"/>
      <c r="C270" s="1226"/>
      <c r="D270" s="1226"/>
      <c r="E270" s="1226"/>
      <c r="F270" s="1226"/>
      <c r="G270" s="1238"/>
      <c r="H270" s="1238"/>
      <c r="I270" s="1238"/>
      <c r="J270" s="1238"/>
      <c r="K270" s="1238"/>
      <c r="L270" s="1241"/>
      <c r="M270" s="1244"/>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5"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5"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5" customHeight="1">
      <c r="A273" s="1229"/>
      <c r="B273" s="1226"/>
      <c r="C273" s="1226"/>
      <c r="D273" s="1226"/>
      <c r="E273" s="1226"/>
      <c r="F273" s="1226"/>
      <c r="G273" s="1238"/>
      <c r="H273" s="1238"/>
      <c r="I273" s="1238"/>
      <c r="J273" s="1238"/>
      <c r="K273" s="1238"/>
      <c r="L273" s="1241"/>
      <c r="M273" s="1244"/>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5"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5"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5" customHeight="1">
      <c r="A276" s="1229"/>
      <c r="B276" s="1226"/>
      <c r="C276" s="1226"/>
      <c r="D276" s="1226"/>
      <c r="E276" s="1226"/>
      <c r="F276" s="1226"/>
      <c r="G276" s="1238"/>
      <c r="H276" s="1238"/>
      <c r="I276" s="1238"/>
      <c r="J276" s="1238"/>
      <c r="K276" s="1238"/>
      <c r="L276" s="1241"/>
      <c r="M276" s="1244"/>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5"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5"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5" customHeight="1">
      <c r="A279" s="1229"/>
      <c r="B279" s="1226"/>
      <c r="C279" s="1226"/>
      <c r="D279" s="1226"/>
      <c r="E279" s="1226"/>
      <c r="F279" s="1226"/>
      <c r="G279" s="1238"/>
      <c r="H279" s="1238"/>
      <c r="I279" s="1238"/>
      <c r="J279" s="1238"/>
      <c r="K279" s="1238"/>
      <c r="L279" s="1241"/>
      <c r="M279" s="1244"/>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5"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5"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5" customHeight="1">
      <c r="A282" s="1229"/>
      <c r="B282" s="1226"/>
      <c r="C282" s="1226"/>
      <c r="D282" s="1226"/>
      <c r="E282" s="1226"/>
      <c r="F282" s="1226"/>
      <c r="G282" s="1238"/>
      <c r="H282" s="1238"/>
      <c r="I282" s="1238"/>
      <c r="J282" s="1238"/>
      <c r="K282" s="1238"/>
      <c r="L282" s="1241"/>
      <c r="M282" s="1244"/>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5"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5"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5" customHeight="1">
      <c r="A285" s="1229"/>
      <c r="B285" s="1226"/>
      <c r="C285" s="1226"/>
      <c r="D285" s="1226"/>
      <c r="E285" s="1226"/>
      <c r="F285" s="1226"/>
      <c r="G285" s="1238"/>
      <c r="H285" s="1238"/>
      <c r="I285" s="1238"/>
      <c r="J285" s="1238"/>
      <c r="K285" s="1238"/>
      <c r="L285" s="1241"/>
      <c r="M285" s="1244"/>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5"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5"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5" customHeight="1">
      <c r="A288" s="1229"/>
      <c r="B288" s="1226"/>
      <c r="C288" s="1226"/>
      <c r="D288" s="1226"/>
      <c r="E288" s="1226"/>
      <c r="F288" s="1226"/>
      <c r="G288" s="1238"/>
      <c r="H288" s="1238"/>
      <c r="I288" s="1238"/>
      <c r="J288" s="1238"/>
      <c r="K288" s="1238"/>
      <c r="L288" s="1241"/>
      <c r="M288" s="1244"/>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5"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5"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5" customHeight="1">
      <c r="A291" s="1229"/>
      <c r="B291" s="1226"/>
      <c r="C291" s="1226"/>
      <c r="D291" s="1226"/>
      <c r="E291" s="1226"/>
      <c r="F291" s="1226"/>
      <c r="G291" s="1238"/>
      <c r="H291" s="1238"/>
      <c r="I291" s="1238"/>
      <c r="J291" s="1238"/>
      <c r="K291" s="1238"/>
      <c r="L291" s="1241"/>
      <c r="M291" s="1244"/>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5"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5"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5" customHeight="1">
      <c r="A294" s="1229"/>
      <c r="B294" s="1226"/>
      <c r="C294" s="1226"/>
      <c r="D294" s="1226"/>
      <c r="E294" s="1226"/>
      <c r="F294" s="1226"/>
      <c r="G294" s="1238"/>
      <c r="H294" s="1238"/>
      <c r="I294" s="1238"/>
      <c r="J294" s="1238"/>
      <c r="K294" s="1238"/>
      <c r="L294" s="1241"/>
      <c r="M294" s="1244"/>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5"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5"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5" customHeight="1">
      <c r="A297" s="1229"/>
      <c r="B297" s="1226"/>
      <c r="C297" s="1226"/>
      <c r="D297" s="1226"/>
      <c r="E297" s="1226"/>
      <c r="F297" s="1226"/>
      <c r="G297" s="1238"/>
      <c r="H297" s="1238"/>
      <c r="I297" s="1238"/>
      <c r="J297" s="1238"/>
      <c r="K297" s="1238"/>
      <c r="L297" s="1241"/>
      <c r="M297" s="1244"/>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5"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5"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5" customHeight="1">
      <c r="A300" s="1229"/>
      <c r="B300" s="1226"/>
      <c r="C300" s="1226"/>
      <c r="D300" s="1226"/>
      <c r="E300" s="1226"/>
      <c r="F300" s="1226"/>
      <c r="G300" s="1238"/>
      <c r="H300" s="1238"/>
      <c r="I300" s="1238"/>
      <c r="J300" s="1238"/>
      <c r="K300" s="1238"/>
      <c r="L300" s="1241"/>
      <c r="M300" s="1244"/>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5"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5"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5" customHeight="1">
      <c r="A303" s="1229"/>
      <c r="B303" s="1226"/>
      <c r="C303" s="1226"/>
      <c r="D303" s="1226"/>
      <c r="E303" s="1226"/>
      <c r="F303" s="1226"/>
      <c r="G303" s="1238"/>
      <c r="H303" s="1238"/>
      <c r="I303" s="1238"/>
      <c r="J303" s="1238"/>
      <c r="K303" s="1238"/>
      <c r="L303" s="1241"/>
      <c r="M303" s="1244"/>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5"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5"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5" customHeight="1">
      <c r="A306" s="1229"/>
      <c r="B306" s="1226"/>
      <c r="C306" s="1226"/>
      <c r="D306" s="1226"/>
      <c r="E306" s="1226"/>
      <c r="F306" s="1226"/>
      <c r="G306" s="1238"/>
      <c r="H306" s="1238"/>
      <c r="I306" s="1238"/>
      <c r="J306" s="1238"/>
      <c r="K306" s="1238"/>
      <c r="L306" s="1241"/>
      <c r="M306" s="1244"/>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5"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5"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5" customHeight="1">
      <c r="A309" s="1229"/>
      <c r="B309" s="1226"/>
      <c r="C309" s="1226"/>
      <c r="D309" s="1226"/>
      <c r="E309" s="1226"/>
      <c r="F309" s="1226"/>
      <c r="G309" s="1238"/>
      <c r="H309" s="1238"/>
      <c r="I309" s="1238"/>
      <c r="J309" s="1238"/>
      <c r="K309" s="1238"/>
      <c r="L309" s="1241"/>
      <c r="M309" s="1244"/>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5"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5"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5" customHeight="1">
      <c r="A312" s="1229"/>
      <c r="B312" s="1226"/>
      <c r="C312" s="1226"/>
      <c r="D312" s="1226"/>
      <c r="E312" s="1226"/>
      <c r="F312" s="1226"/>
      <c r="G312" s="1238"/>
      <c r="H312" s="1238"/>
      <c r="I312" s="1238"/>
      <c r="J312" s="1238"/>
      <c r="K312" s="1238"/>
      <c r="L312" s="1241"/>
      <c r="M312" s="1244"/>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5"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gSUV0X45eXSVVP+aleCHPz5emaWQB1o9ERC1IpUq7yoJMtSD8M2FDbAB9Q6/tlixnerWTgfzKpAlozOKeZim8w==" saltValue="b9edBeQWWebXxuXMqEAGiw=="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L167:L16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B53:F55"/>
    <mergeCell ref="B62:F64"/>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0:F112"/>
    <mergeCell ref="B119:F121"/>
    <mergeCell ref="B140:F142"/>
    <mergeCell ref="B128:F130"/>
    <mergeCell ref="B131:F133"/>
    <mergeCell ref="B146:F148"/>
    <mergeCell ref="A137:A139"/>
    <mergeCell ref="A140:A142"/>
    <mergeCell ref="A143:A145"/>
    <mergeCell ref="A146:A148"/>
    <mergeCell ref="M35:M37"/>
    <mergeCell ref="B38:F40"/>
    <mergeCell ref="G38:G40"/>
    <mergeCell ref="H38:H40"/>
    <mergeCell ref="I38:I40"/>
    <mergeCell ref="J38:J40"/>
    <mergeCell ref="K38:K40"/>
    <mergeCell ref="L38:L40"/>
    <mergeCell ref="M38:M4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33:F235"/>
    <mergeCell ref="A212:A214"/>
    <mergeCell ref="A215:A217"/>
    <mergeCell ref="A218:A220"/>
    <mergeCell ref="A209:A211"/>
    <mergeCell ref="B230:F232"/>
    <mergeCell ref="B260:F262"/>
    <mergeCell ref="B269:F271"/>
    <mergeCell ref="B278:F280"/>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53125" defaultRowHeight="16.5"/>
  <cols>
    <col min="1" max="1" width="5.6328125" style="175" customWidth="1"/>
    <col min="2" max="6" width="2.6328125" style="610" customWidth="1"/>
    <col min="7" max="7" width="12.6328125" style="175" customWidth="1"/>
    <col min="8" max="8" width="9" style="175" customWidth="1"/>
    <col min="9" max="9" width="9.36328125" style="692" customWidth="1"/>
    <col min="10" max="10" width="14.6328125" style="175" customWidth="1"/>
    <col min="11" max="11" width="17.36328125" style="285" customWidth="1"/>
    <col min="12" max="12" width="14" style="175" customWidth="1"/>
    <col min="13" max="13" width="7.6328125" style="175" customWidth="1"/>
    <col min="14" max="14" width="15" style="615" customWidth="1"/>
    <col min="15" max="15" width="5.90625" style="615" customWidth="1"/>
    <col min="16" max="16" width="2.08984375" style="614" customWidth="1"/>
    <col min="17" max="17" width="15" style="615" customWidth="1"/>
    <col min="18" max="18" width="2" style="615" customWidth="1"/>
    <col min="19" max="19" width="7.08984375" style="615" customWidth="1"/>
    <col min="20" max="20" width="18.36328125" style="615" customWidth="1"/>
    <col min="21" max="21" width="15.08984375" style="614" customWidth="1"/>
    <col min="22" max="22" width="7" style="615" customWidth="1"/>
    <col min="23" max="23" width="4.6328125" style="285" customWidth="1"/>
    <col min="24" max="25" width="2.90625" style="285" customWidth="1"/>
    <col min="26" max="26" width="3.6328125" style="285" customWidth="1"/>
    <col min="27" max="27" width="9.90625" style="285" customWidth="1"/>
    <col min="28" max="29" width="2.90625" style="285" customWidth="1"/>
    <col min="30" max="30" width="3.453125" style="285" customWidth="1"/>
    <col min="31" max="32" width="2.90625" style="285" customWidth="1"/>
    <col min="33" max="33" width="4.6328125" style="285" customWidth="1"/>
    <col min="34" max="34" width="6.08984375" style="285" customWidth="1"/>
    <col min="35" max="37" width="14.36328125" style="615" customWidth="1"/>
    <col min="38" max="38" width="9.90625" style="175" customWidth="1"/>
    <col min="39" max="39" width="14.36328125" style="615" customWidth="1"/>
    <col min="40" max="40" width="9.90625" style="175" customWidth="1"/>
    <col min="41" max="41" width="11.90625" style="175" customWidth="1"/>
    <col min="42" max="42" width="9.90625" style="175" customWidth="1"/>
    <col min="43" max="43" width="12.26953125" style="175" customWidth="1"/>
    <col min="44" max="44" width="11.90625" style="665" customWidth="1"/>
    <col min="45" max="45" width="22.36328125" style="443" customWidth="1"/>
    <col min="46" max="46" width="50.6328125" style="443" customWidth="1"/>
    <col min="47" max="47" width="7.08984375" style="443" customWidth="1"/>
    <col min="48" max="62" width="6.90625" style="440" hidden="1" customWidth="1"/>
    <col min="63" max="63" width="6.90625" style="596" hidden="1" customWidth="1"/>
    <col min="64" max="64" width="22.08984375" style="175" customWidth="1"/>
    <col min="65" max="16384" width="2.4531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2384</v>
      </c>
      <c r="B5" s="1231"/>
      <c r="C5" s="1231"/>
      <c r="D5" s="1231"/>
      <c r="E5" s="1231"/>
      <c r="F5" s="1231"/>
      <c r="G5" s="1231"/>
      <c r="H5" s="1231"/>
      <c r="I5" s="1231"/>
      <c r="J5" s="1231"/>
      <c r="K5" s="1232"/>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2385</v>
      </c>
      <c r="C6" s="1231"/>
      <c r="D6" s="1231"/>
      <c r="E6" s="1231"/>
      <c r="F6" s="1231"/>
      <c r="G6" s="1231"/>
      <c r="H6" s="1231"/>
      <c r="I6" s="1231"/>
      <c r="J6" s="1231"/>
      <c r="K6" s="1232"/>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20" t="str">
        <f>IF(OR(AZ7="旧処遇加算Ⅰ相当あり",AZ8="旧処遇加算Ⅰ相当あり"),"旧処遇加算Ⅰ相当あり","旧処遇加算Ⅰ相当なし")</f>
        <v>旧処遇加算Ⅰ相当あり</v>
      </c>
      <c r="BA6" s="1520"/>
      <c r="BB6" s="1520"/>
      <c r="BC6" s="1520" t="str">
        <f>IF(OR(BC7="旧処遇加算Ⅰ・Ⅱ相当あり",BC8="旧処遇加算Ⅰ・Ⅱ相当あり"),"旧処遇加算Ⅰ・Ⅱ相当あり","旧処遇加算Ⅰ・Ⅱ相当なし")</f>
        <v>旧処遇加算Ⅰ・Ⅱ相当あり</v>
      </c>
      <c r="BD6" s="1520"/>
      <c r="BE6" s="1520"/>
      <c r="BF6" s="1520" t="str">
        <f>IF(OR(BF7="旧特定加算相当あり",BF8="旧特定加算相当あり"),"旧特定加算相当あり","旧特定加算相当なし")</f>
        <v>旧特定加算相当あり</v>
      </c>
      <c r="BG6" s="1520"/>
      <c r="BH6" s="1520"/>
      <c r="BI6" s="1520" t="str">
        <f>IF(OR(BI7="旧特定加算Ⅰ相当あり",BI8="旧特定加算Ⅰ相当あり"),"旧特定加算Ⅰ相当あり","旧特定加算Ⅰ相当なし")</f>
        <v>旧特定加算Ⅰ相当あり</v>
      </c>
      <c r="BJ6" s="1520"/>
      <c r="BK6" s="1520"/>
    </row>
    <row r="7" spans="1:64" ht="35.25" customHeight="1">
      <c r="A7" s="632"/>
      <c r="B7" s="1337" t="s">
        <v>2386</v>
      </c>
      <c r="C7" s="1231"/>
      <c r="D7" s="1231"/>
      <c r="E7" s="1231"/>
      <c r="F7" s="1231"/>
      <c r="G7" s="1231"/>
      <c r="H7" s="1231"/>
      <c r="I7" s="1231"/>
      <c r="J7" s="1231"/>
      <c r="K7" s="1232"/>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2128</v>
      </c>
      <c r="AL7" s="1404"/>
      <c r="AM7" s="1404"/>
      <c r="AN7" s="1404"/>
      <c r="AO7" s="1404"/>
      <c r="AP7" s="1404"/>
      <c r="AQ7" s="1405"/>
      <c r="AR7" s="639">
        <f>SUMIF(T:T,"令和６年度の算定予定",AR:AR)</f>
        <v>2</v>
      </c>
      <c r="AS7" s="537"/>
      <c r="AT7" s="537"/>
      <c r="AY7" s="638" t="s">
        <v>2214</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20"/>
      <c r="BK7" s="1520"/>
    </row>
    <row r="8" spans="1:64" ht="35.25" customHeight="1" thickBot="1">
      <c r="A8" s="640"/>
      <c r="B8" s="1337" t="s">
        <v>2387</v>
      </c>
      <c r="C8" s="1231"/>
      <c r="D8" s="1231"/>
      <c r="E8" s="1231"/>
      <c r="F8" s="1231"/>
      <c r="G8" s="1231"/>
      <c r="H8" s="1231"/>
      <c r="I8" s="1231"/>
      <c r="J8" s="1231"/>
      <c r="K8" s="1232"/>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2343</v>
      </c>
      <c r="AL8" s="1404"/>
      <c r="AM8" s="1404"/>
      <c r="AN8" s="1404"/>
      <c r="AO8" s="1404"/>
      <c r="AP8" s="1404"/>
      <c r="AQ8" s="1405"/>
      <c r="AR8" s="645">
        <f>SUM(BJ:BJ)</f>
        <v>2</v>
      </c>
      <c r="AS8" s="537"/>
      <c r="AT8" s="537"/>
      <c r="AY8" s="638" t="s">
        <v>2359</v>
      </c>
      <c r="AZ8" s="1520" t="str">
        <f>'別紙様式2-4（年度内の区分変更がある場合に記入）'!AV7</f>
        <v>旧処遇加算Ⅰ相当なし</v>
      </c>
      <c r="BA8" s="1520"/>
      <c r="BB8" s="1520"/>
      <c r="BC8" s="1520" t="str">
        <f>'別紙様式2-4（年度内の区分変更がある場合に記入）'!AX7</f>
        <v>旧処遇加算Ⅰ・Ⅱ相当あり</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2238</v>
      </c>
      <c r="B9" s="1339"/>
      <c r="C9" s="1339"/>
      <c r="D9" s="1339"/>
      <c r="E9" s="1339"/>
      <c r="F9" s="1339"/>
      <c r="G9" s="1339"/>
      <c r="H9" s="1339"/>
      <c r="I9" s="1339"/>
      <c r="J9" s="1339"/>
      <c r="K9" s="134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2390</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7"/>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2316</v>
      </c>
      <c r="X12" s="1445"/>
      <c r="Y12" s="1445"/>
      <c r="Z12" s="1445"/>
      <c r="AA12" s="1445"/>
      <c r="AB12" s="1445"/>
      <c r="AC12" s="1445"/>
      <c r="AD12" s="1445"/>
      <c r="AE12" s="1445"/>
      <c r="AF12" s="1445"/>
      <c r="AG12" s="1445"/>
      <c r="AH12" s="1446"/>
      <c r="AI12" s="1444" t="s">
        <v>2185</v>
      </c>
      <c r="AJ12" s="1440" t="s">
        <v>2349</v>
      </c>
      <c r="AK12" s="1442" t="s">
        <v>2211</v>
      </c>
      <c r="AL12" s="1443"/>
      <c r="AM12" s="1518" t="s">
        <v>2193</v>
      </c>
      <c r="AN12" s="1331"/>
      <c r="AO12" s="1330" t="s">
        <v>255</v>
      </c>
      <c r="AP12" s="1331"/>
      <c r="AQ12" s="543" t="s">
        <v>249</v>
      </c>
      <c r="AR12" s="543" t="s">
        <v>253</v>
      </c>
      <c r="AS12" s="544" t="s">
        <v>254</v>
      </c>
      <c r="AT12" s="1346" t="s">
        <v>2345</v>
      </c>
      <c r="AU12" s="554"/>
      <c r="AV12" s="1341" t="s">
        <v>2344</v>
      </c>
      <c r="AW12" s="1341"/>
      <c r="BL12" s="1235" t="s">
        <v>2378</v>
      </c>
    </row>
    <row r="13" spans="1:64" ht="159.75" customHeight="1" thickBot="1">
      <c r="A13" s="1478"/>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2374</v>
      </c>
      <c r="AL13" s="550" t="s">
        <v>2208</v>
      </c>
      <c r="AM13" s="550" t="s">
        <v>2190</v>
      </c>
      <c r="AN13" s="551" t="s">
        <v>2209</v>
      </c>
      <c r="AO13" s="551" t="s">
        <v>2350</v>
      </c>
      <c r="AP13" s="550" t="s">
        <v>2351</v>
      </c>
      <c r="AQ13" s="552" t="s">
        <v>248</v>
      </c>
      <c r="AR13" s="552" t="s">
        <v>2361</v>
      </c>
      <c r="AS13" s="688" t="s">
        <v>2355</v>
      </c>
      <c r="AT13" s="1234"/>
      <c r="AU13" s="656"/>
      <c r="AV13" s="555" t="s">
        <v>2204</v>
      </c>
      <c r="AW13" s="657" t="s">
        <v>2231</v>
      </c>
      <c r="AX13" s="658" t="s">
        <v>2232</v>
      </c>
      <c r="AY13" s="555" t="s">
        <v>2198</v>
      </c>
      <c r="AZ13" s="1496" t="s">
        <v>2213</v>
      </c>
      <c r="BA13" s="1496"/>
      <c r="BB13" s="1496"/>
      <c r="BC13" s="1496"/>
      <c r="BD13" s="1496"/>
      <c r="BE13" s="1496"/>
      <c r="BF13" s="555" t="s">
        <v>2212</v>
      </c>
      <c r="BG13" s="555" t="s">
        <v>2199</v>
      </c>
      <c r="BH13" s="555" t="s">
        <v>2200</v>
      </c>
      <c r="BI13" s="555" t="s">
        <v>2201</v>
      </c>
      <c r="BJ13" s="558" t="s">
        <v>2202</v>
      </c>
      <c r="BK13" s="558" t="s">
        <v>2203</v>
      </c>
      <c r="BL13" s="1335"/>
    </row>
    <row r="14" spans="1:64"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430">
        <f>IF(SUM('別紙様式2-2（４・５月分）'!R14:R16)=0,"",SUM('別紙様式2-2（４・５月分）'!R14:R16))</f>
        <v>0.224</v>
      </c>
      <c r="P14" s="1383" t="str">
        <f>IFERROR(VLOOKUP('別紙様式2-2（４・５月分）'!AR14,【参考】数式用!$AT$5:$AU$22,2,FALSE),"")</f>
        <v>新加算Ⅰ</v>
      </c>
      <c r="Q14" s="1384"/>
      <c r="R14" s="1385"/>
      <c r="S14" s="1480">
        <f>IFERROR(VLOOKUP(K14,【参考】数式用!$A$5:$AB$27,MATCH(P14,【参考】数式用!$B$4:$AB$4,0)+1,0),"")</f>
        <v>0.245</v>
      </c>
      <c r="T14" s="1416" t="s">
        <v>2189</v>
      </c>
      <c r="U14" s="1418" t="s">
        <v>2113</v>
      </c>
      <c r="V14" s="1351">
        <f>IFERROR(VLOOKUP(K14,【参考】数式用!$A$5:$AB$27,MATCH(U14,【参考】数式用!$B$4:$AB$4,0)+1,0),"")</f>
        <v>0.245</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f>IFERROR(ROUNDDOWN(ROUND(L14*V14,0)*M14,0)*AG14,"")</f>
        <v>5167050</v>
      </c>
      <c r="AJ14" s="1470">
        <f>IFERROR(ROUNDDOWN(ROUND((L14*(V14-AX14)),0)*M14,0)*AG14,"")</f>
        <v>2172270</v>
      </c>
      <c r="AK14" s="1488">
        <f>IFERROR(IF(OR(N14="",N15="",N17=""),0,ROUNDDOWN(ROUNDDOWN(ROUND(L14*VLOOKUP(K14,【参考】数式用!$A$5:$AB$27,MATCH("新加算Ⅳ",【参考】数式用!$B$4:$AB$4,0)+1,0),0)*M14,0)*AG14*0.5,0)),"")</f>
        <v>1529025</v>
      </c>
      <c r="AL14" s="1436"/>
      <c r="AM14" s="1490">
        <f>IFERROR(IF(OR(N17="ベア加算",N17=""),0, IF(OR(U14="新加算Ⅰ",U14="新加算Ⅱ",U14="新加算Ⅲ",U14="新加算Ⅳ"),ROUNDDOWN(ROUND(L14*VLOOKUP(K14,【参考】数式用!$A$5:$I$27,MATCH("ベア加算",【参考】数式用!$B$4:$I$4,0)+1,0),0)*M14,0)*AG14,0)),"")</f>
        <v>0</v>
      </c>
      <c r="AN14" s="1505"/>
      <c r="AO14" s="1367" t="s">
        <v>2197</v>
      </c>
      <c r="AP14" s="1406"/>
      <c r="AQ14" s="1406" t="s">
        <v>2197</v>
      </c>
      <c r="AR14" s="1492">
        <v>1</v>
      </c>
      <c r="AS14" s="1494" t="s">
        <v>2297</v>
      </c>
      <c r="AT14" s="568" t="str">
        <f>IF(AV14="","",IF(V14&lt;O14,"！加算の要件上は問題ありませんが、令和６年４・５月と比較して令和６年６月に加算率が下がる計画になっています。",""))</f>
        <v/>
      </c>
      <c r="AU14" s="660"/>
      <c r="AV14" s="1496" t="str">
        <f>IF(K14&lt;&gt;"","V列に色付け","")</f>
        <v>V列に色付け</v>
      </c>
      <c r="AW14" s="661" t="str">
        <f>IF('別紙様式2-2（４・５月分）'!O14="","",'別紙様式2-2（４・５月分）'!O14)</f>
        <v>処遇加算Ⅱ</v>
      </c>
      <c r="AX14" s="1510">
        <f>IF(SUM('別紙様式2-2（４・５月分）'!P14:P16)=0,"",SUM('別紙様式2-2（４・５月分）'!P14:P16))</f>
        <v>0.14200000000000002</v>
      </c>
      <c r="AY14" s="1509" t="str">
        <f>IFERROR(VLOOKUP(K14,【参考】数式用!$AJ$2:$AK$24,2,FALSE),"")</f>
        <v>訪問介護</v>
      </c>
      <c r="AZ14" s="1324" t="s">
        <v>2113</v>
      </c>
      <c r="BA14" s="1324" t="s">
        <v>2114</v>
      </c>
      <c r="BB14" s="1324" t="s">
        <v>2115</v>
      </c>
      <c r="BC14" s="1324" t="s">
        <v>2116</v>
      </c>
      <c r="BD14" s="1324" t="str">
        <f>IF(AND(P14&lt;&gt;"新加算Ⅰ",P14&lt;&gt;"新加算Ⅱ",P14&lt;&gt;"新加算Ⅲ",P14&lt;&gt;"新加算Ⅳ"),P14,IF(Q16&lt;&gt;"",Q16,""))</f>
        <v xml:space="preserve">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入力済</v>
      </c>
      <c r="BJ14" s="151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6" t="str">
        <f>IF(OR(U14="新加算Ⅰ",U14="新加算Ⅴ（１）",U14="新加算Ⅴ（２）",U14="新加算Ⅴ（５）",U14="新加算Ⅴ（７）",U14="新加算Ⅴ（10）"),IF(AS14="","未入力","入力済"),"")</f>
        <v>入力済</v>
      </c>
      <c r="BL14" s="555" t="str">
        <f>G14</f>
        <v>東京都</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特定加算Ⅱ</v>
      </c>
      <c r="AX15" s="1510"/>
      <c r="AY15" s="1509"/>
      <c r="AZ15" s="1324"/>
      <c r="BA15" s="1324"/>
      <c r="BB15" s="1324"/>
      <c r="BC15" s="1324"/>
      <c r="BD15" s="1324"/>
      <c r="BE15" s="1324"/>
      <c r="BF15" s="1324"/>
      <c r="BG15" s="1324"/>
      <c r="BH15" s="1324"/>
      <c r="BI15" s="1324"/>
      <c r="BJ15" s="1515"/>
      <c r="BK15" s="1496"/>
      <c r="BL15" s="555" t="str">
        <f>G14</f>
        <v>東京都</v>
      </c>
    </row>
    <row r="16" spans="1:64" ht="15" customHeight="1">
      <c r="A16" s="1250"/>
      <c r="B16" s="1286"/>
      <c r="C16" s="1263"/>
      <c r="D16" s="1263"/>
      <c r="E16" s="1263"/>
      <c r="F16" s="1264"/>
      <c r="G16" s="1268"/>
      <c r="H16" s="1268"/>
      <c r="I16" s="1268"/>
      <c r="J16" s="1375"/>
      <c r="K16" s="1268"/>
      <c r="L16" s="1454"/>
      <c r="M16" s="1451"/>
      <c r="N16" s="1374"/>
      <c r="O16" s="1432"/>
      <c r="P16" s="1474" t="s">
        <v>2196</v>
      </c>
      <c r="Q16" s="1389" t="str">
        <f>IFERROR(VLOOKUP('別紙様式2-2（４・５月分）'!AR14,【参考】数式用!$AT$5:$AV$22,3,FALSE),"")</f>
        <v xml:space="preserve"> </v>
      </c>
      <c r="R16" s="1426" t="s">
        <v>2207</v>
      </c>
      <c r="S16" s="1482" t="str">
        <f>IFERROR(VLOOKUP(K14,【参考】数式用!$A$5:$AB$27,MATCH(Q16,【参考】数式用!$B$4:$AB$4,0)+1,0),"")</f>
        <v/>
      </c>
      <c r="T16" s="1462" t="s">
        <v>231</v>
      </c>
      <c r="U16" s="1464" t="s">
        <v>2113</v>
      </c>
      <c r="V16" s="1503">
        <f>IFERROR(VLOOKUP(K14,【参考】数式用!$A$5:$AB$27,MATCH(U16,【参考】数式用!$B$4:$AB$4,0)+1,0),"")</f>
        <v>0.245</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f>IFERROR(ROUNDDOWN(ROUND(L14*V16,0)*M14,0)*AG16,"")</f>
        <v>6200460</v>
      </c>
      <c r="AJ16" s="1472">
        <f>IFERROR(ROUNDDOWN(ROUND((L14*(V16-AX14)),0)*M14,0)*AG16,"")</f>
        <v>2606724</v>
      </c>
      <c r="AK16" s="1497">
        <f>IFERROR(IF(OR(N14="",N15="",N17=""),0,ROUNDDOWN(ROUNDDOWN(ROUND(L14*VLOOKUP(K14,【参考】数式用!$A$5:$AB$27,MATCH("新加算Ⅳ",【参考】数式用!$B$4:$AB$4,0)+1,0),0)*M14,0)*AG16*0.5,0)),"")</f>
        <v>1834830</v>
      </c>
      <c r="AL16" s="1438" t="str">
        <f>IF(U16&lt;&gt;"","新規に適用","")</f>
        <v>新規に適用</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新規に適用</v>
      </c>
      <c r="AO16" s="1359" t="str">
        <f>IF(AND(U16&lt;&gt;"",AO14=""),"新規に適用",IF(AND(U16&lt;&gt;"",AO14&lt;&gt;""),"継続で適用",""))</f>
        <v>継続で適用</v>
      </c>
      <c r="AP16" s="1361"/>
      <c r="AQ16" s="1359" t="str">
        <f>IF(AND(U16&lt;&gt;"",AQ14=""),"新規に適用",IF(AND(U16&lt;&gt;"",AQ14&lt;&gt;""),"継続で適用",""))</f>
        <v>継続で適用</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9" t="str">
        <f>IF(AND(U16&lt;&gt;"",AS14=""),"新規に適用",IF(AND(U16&lt;&gt;"",AS14&lt;&gt;""),"継続で適用",""))</f>
        <v>継続で適用</v>
      </c>
      <c r="AT16" s="1334"/>
      <c r="AU16" s="660"/>
      <c r="AV16" s="1496" t="str">
        <f>IF(K14&lt;&gt;"","V列に色付け","")</f>
        <v>V列に色付け</v>
      </c>
      <c r="AW16" s="1519"/>
      <c r="AX16" s="1510"/>
      <c r="AY16" s="175"/>
      <c r="AZ16" s="175"/>
      <c r="BA16" s="175"/>
      <c r="BB16" s="175"/>
      <c r="BC16" s="175"/>
      <c r="BD16" s="175"/>
      <c r="BE16" s="175"/>
      <c r="BF16" s="175"/>
      <c r="BG16" s="175"/>
      <c r="BH16" s="175"/>
      <c r="BI16" s="175"/>
      <c r="BJ16" s="175"/>
      <c r="BK16" s="175"/>
      <c r="BL16" s="555" t="str">
        <f>G14</f>
        <v>東京都</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ベア加算なし</v>
      </c>
      <c r="AX17" s="1510"/>
      <c r="AY17" s="175"/>
      <c r="AZ17" s="175"/>
      <c r="BA17" s="175"/>
      <c r="BB17" s="175"/>
      <c r="BC17" s="175"/>
      <c r="BD17" s="175"/>
      <c r="BE17" s="175"/>
      <c r="BF17" s="175"/>
      <c r="BG17" s="175"/>
      <c r="BH17" s="175"/>
      <c r="BI17" s="175"/>
      <c r="BJ17" s="175"/>
      <c r="BK17" s="175"/>
      <c r="BL17" s="555" t="str">
        <f>G14</f>
        <v>東京都</v>
      </c>
    </row>
    <row r="18" spans="1:64"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2189</v>
      </c>
      <c r="U18" s="1418" t="s">
        <v>2113</v>
      </c>
      <c r="V18" s="1460">
        <f>IFERROR(VLOOKUP(K18,【参考】数式用!$A$5:$AB$27,MATCH(U18,【参考】数式用!$B$4:$AB$4,0)+1,0),"")</f>
        <v>0.245</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f>IFERROR(ROUNDDOWN(ROUND(L18*V18,0)*M18,0)*AG18,"")</f>
        <v>2318190</v>
      </c>
      <c r="AJ18" s="1486">
        <f>IFERROR(ROUNDDOWN(ROUND((L18*(V18-AX18)),0)*M18,0)*AG18,"")</f>
        <v>974580</v>
      </c>
      <c r="AK18" s="1488">
        <f>IFERROR(IF(OR(N18="",N19="",N21=""),0,ROUNDDOWN(ROUNDDOWN(ROUND(L18*VLOOKUP(K18,【参考】数式用!$A$5:$AB$27,MATCH("新加算Ⅳ",【参考】数式用!$B$4:$AB$4,0)+1,0),0)*M18,0)*AG18*0.5,0)),"")</f>
        <v>685995</v>
      </c>
      <c r="AL18" s="1436"/>
      <c r="AM18" s="1490">
        <f>IFERROR(IF(OR(N21="ベア加算",N21=""),0, IF(OR(U18="新加算Ⅰ",U18="新加算Ⅱ",U18="新加算Ⅲ",U18="新加算Ⅳ"),ROUNDDOWN(ROUND(L18*VLOOKUP(K18,【参考】数式用!$A$5:$I$27,MATCH("ベア加算",【参考】数式用!$B$4:$I$4,0)+1,0),0)*M18,0)*AG18,0)),"")</f>
        <v>0</v>
      </c>
      <c r="AN18" s="1505"/>
      <c r="AO18" s="1367" t="s">
        <v>2197</v>
      </c>
      <c r="AP18" s="1406"/>
      <c r="AQ18" s="1406" t="s">
        <v>2197</v>
      </c>
      <c r="AR18" s="1492"/>
      <c r="AS18" s="1494" t="s">
        <v>2372</v>
      </c>
      <c r="AT18" s="568" t="str">
        <f t="shared" ref="AT18:AT78" si="0">IF(AV18="","",IF(V18&lt;O18,"！加算の要件上は問題ありませんが、令和６年４・５月と比較して令和６年６月に加算率が下がる計画になっています。",""))</f>
        <v/>
      </c>
      <c r="AU18" s="663"/>
      <c r="AV18" s="1496" t="str">
        <f>IF(K18&lt;&gt;"","V列に色付け","")</f>
        <v>V列に色付け</v>
      </c>
      <c r="AW18" s="661" t="str">
        <f>IF('別紙様式2-2（４・５月分）'!O17="","",'別紙様式2-2（４・５月分）'!O17)</f>
        <v>処遇加算Ⅱ</v>
      </c>
      <c r="AX18" s="1510">
        <f>IF(SUM('別紙様式2-2（４・５月分）'!P17:P19)=0,"",SUM('別紙様式2-2（４・５月分）'!P17:P19))</f>
        <v>0.14200000000000002</v>
      </c>
      <c r="AY18" s="1509" t="str">
        <f>IFERROR(VLOOKUP(K18,【参考】数式用!$AJ$2:$AK$24,2,FALSE),"")</f>
        <v>訪問型サービス_総合事業</v>
      </c>
      <c r="AZ18" s="1324" t="s">
        <v>2113</v>
      </c>
      <c r="BA18" s="1324" t="s">
        <v>2114</v>
      </c>
      <c r="BB18" s="1324" t="s">
        <v>2115</v>
      </c>
      <c r="BC18" s="1324" t="s">
        <v>2116</v>
      </c>
      <c r="BD18" s="1324" t="str">
        <f>IF(AND(P18&lt;&gt;"新加算Ⅰ",P18&lt;&gt;"新加算Ⅱ",P18&lt;&gt;"新加算Ⅲ",P18&lt;&gt;"新加算Ⅳ"),P18,IF(Q20&lt;&gt;"",Q20,""))</f>
        <v xml:space="preserve">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入力済</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入力済</v>
      </c>
      <c r="BL18" s="555" t="str">
        <f>G18</f>
        <v>千代田区・中央区・港区</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特定加算Ⅱ</v>
      </c>
      <c r="AX19" s="1510"/>
      <c r="AY19" s="1509"/>
      <c r="AZ19" s="1324"/>
      <c r="BA19" s="1324"/>
      <c r="BB19" s="1324"/>
      <c r="BC19" s="1324"/>
      <c r="BD19" s="1324"/>
      <c r="BE19" s="1324"/>
      <c r="BF19" s="1324"/>
      <c r="BG19" s="1324"/>
      <c r="BH19" s="1324"/>
      <c r="BI19" s="1324"/>
      <c r="BJ19" s="1515"/>
      <c r="BK19" s="1496"/>
      <c r="BL19" s="555" t="str">
        <f>G18</f>
        <v>千代田区・中央区・港区</v>
      </c>
    </row>
    <row r="20" spans="1:64" ht="15" customHeight="1">
      <c r="A20" s="1250"/>
      <c r="B20" s="1286"/>
      <c r="C20" s="1263"/>
      <c r="D20" s="1263"/>
      <c r="E20" s="1263"/>
      <c r="F20" s="1264"/>
      <c r="G20" s="1268"/>
      <c r="H20" s="1268"/>
      <c r="I20" s="1268"/>
      <c r="J20" s="1375"/>
      <c r="K20" s="1268"/>
      <c r="L20" s="1454"/>
      <c r="M20" s="1456"/>
      <c r="N20" s="1374"/>
      <c r="O20" s="1371"/>
      <c r="P20" s="1474" t="s">
        <v>2196</v>
      </c>
      <c r="Q20" s="1389" t="str">
        <f>IFERROR(VLOOKUP('別紙様式2-2（４・５月分）'!AR17,【参考】数式用!$AT$5:$AV$22,3,FALSE),"")</f>
        <v xml:space="preserve"> </v>
      </c>
      <c r="R20" s="1426" t="s">
        <v>2207</v>
      </c>
      <c r="S20" s="1397" t="str">
        <f>IFERROR(VLOOKUP(K18,【参考】数式用!$A$5:$AB$27,MATCH(Q20,【参考】数式用!$B$4:$AB$4,0)+1,0),"")</f>
        <v/>
      </c>
      <c r="T20" s="1462" t="s">
        <v>231</v>
      </c>
      <c r="U20" s="1464" t="s">
        <v>2113</v>
      </c>
      <c r="V20" s="1466">
        <f>IFERROR(VLOOKUP(K18,【参考】数式用!$A$5:$AB$27,MATCH(U20,【参考】数式用!$B$4:$AB$4,0)+1,0),"")</f>
        <v>0.245</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f>IFERROR(ROUNDDOWN(ROUND(L18*V20,0)*M18,0)*AG20,"")</f>
        <v>2781828</v>
      </c>
      <c r="AJ20" s="1472">
        <f>IFERROR(ROUNDDOWN(ROUND((L18*(V20-AX18)),0)*M18,0)*AG20,"")</f>
        <v>1169496</v>
      </c>
      <c r="AK20" s="1497">
        <f>IFERROR(IF(OR(N18="",N19="",N21=""),0,ROUNDDOWN(ROUNDDOWN(ROUND(L18*VLOOKUP(K18,【参考】数式用!$A$5:$AB$27,MATCH("新加算Ⅳ",【参考】数式用!$B$4:$AB$4,0)+1,0),0)*M18,0)*AG20*0.5,0)),"")</f>
        <v>823194</v>
      </c>
      <c r="AL20" s="1438" t="str">
        <f>IF(U20&lt;&gt;"","新規に適用","")</f>
        <v>新規に適用</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新規に適用</v>
      </c>
      <c r="AO20" s="1359" t="str">
        <f>IF(AND(U20&lt;&gt;"",AO18=""),"新規に適用",IF(AND(U20&lt;&gt;"",AO18&lt;&gt;""),"継続で適用",""))</f>
        <v>継続で適用</v>
      </c>
      <c r="AP20" s="1361"/>
      <c r="AQ20" s="1359" t="str">
        <f>IF(AND(U20&lt;&gt;"",AQ18=""),"新規に適用",IF(AND(U20&lt;&gt;"",AQ18&lt;&gt;""),"継続で適用",""))</f>
        <v>継続で適用</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9" t="str">
        <f>IF(AND(U20&lt;&gt;"",AS18=""),"新規に適用",IF(AND(U20&lt;&gt;"",AS18&lt;&gt;""),"継続で適用",""))</f>
        <v>継続で適用</v>
      </c>
      <c r="AT20" s="1334"/>
      <c r="AU20" s="663"/>
      <c r="AV20" s="1496" t="str">
        <f>IF(K18&lt;&gt;"","V列に色付け","")</f>
        <v>V列に色付け</v>
      </c>
      <c r="AW20" s="1519"/>
      <c r="AX20" s="1510"/>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ベア加算なし</v>
      </c>
      <c r="AX21" s="1510"/>
      <c r="AY21" s="175"/>
      <c r="AZ21" s="175"/>
      <c r="BA21" s="175"/>
      <c r="BB21" s="175"/>
      <c r="BC21" s="175"/>
      <c r="BD21" s="175"/>
      <c r="BE21" s="175"/>
      <c r="BF21" s="175"/>
      <c r="BG21" s="175"/>
      <c r="BH21" s="175"/>
      <c r="BI21" s="175"/>
      <c r="BJ21" s="175"/>
      <c r="BK21" s="175"/>
      <c r="BL21" s="555" t="str">
        <f>G18</f>
        <v>千代田区・中央区・港区</v>
      </c>
    </row>
    <row r="22" spans="1:64"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2189</v>
      </c>
      <c r="U22" s="1458" t="s">
        <v>2116</v>
      </c>
      <c r="V22" s="1460">
        <f>IFERROR(VLOOKUP(K22,【参考】数式用!$A$5:$AB$27,MATCH(U22,【参考】数式用!$B$4:$AB$4,0)+1,0),"")</f>
        <v>6.3999999999999987E-2</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f>IFERROR(ROUNDDOWN(ROUND(L22*V22,0)*M22,0)*AG22,"")</f>
        <v>2127680</v>
      </c>
      <c r="AJ22" s="1486">
        <f>IFERROR(ROUNDDOWN(ROUND((L22*(V22-AX22)),0)*M22,0)*AG22,"")</f>
        <v>332450</v>
      </c>
      <c r="AK22" s="1488">
        <f>IFERROR(IF(OR(N22="",N23="",N25=""),0,ROUNDDOWN(ROUNDDOWN(ROUND(L22*VLOOKUP(K22,【参考】数式用!$A$5:$AB$27,MATCH("新加算Ⅳ",【参考】数式用!$B$4:$AB$4,0)+1,0),0)*M22,0)*AG22*0.5,0)),"")</f>
        <v>1063840</v>
      </c>
      <c r="AL22" s="1436"/>
      <c r="AM22" s="1490">
        <f>IFERROR(IF(OR(N25="ベア加算",N25=""),0, IF(OR(U22="新加算Ⅰ",U22="新加算Ⅱ",U22="新加算Ⅲ",U22="新加算Ⅳ"),ROUNDDOWN(ROUND(L22*VLOOKUP(K22,【参考】数式用!$A$5:$I$27,MATCH("ベア加算",【参考】数式用!$B$4:$I$4,0)+1,0),0)*M22,0)*AG22,0)),"")</f>
        <v>0</v>
      </c>
      <c r="AN22" s="1505"/>
      <c r="AO22" s="1367" t="s">
        <v>165</v>
      </c>
      <c r="AP22" s="1406"/>
      <c r="AQ22" s="1406"/>
      <c r="AR22" s="1492"/>
      <c r="AS22" s="1494"/>
      <c r="AT22" s="568" t="str">
        <f t="shared" si="0"/>
        <v/>
      </c>
      <c r="AU22" s="663"/>
      <c r="AV22" s="1496" t="str">
        <f>IF(K22&lt;&gt;"","V列に色付け","")</f>
        <v>V列に色付け</v>
      </c>
      <c r="AW22" s="661" t="str">
        <f>IF('別紙様式2-2（４・５月分）'!O20="","",'別紙様式2-2（４・５月分）'!O20)</f>
        <v>処遇加算Ⅱ</v>
      </c>
      <c r="AX22" s="1510">
        <f>IF(SUM('別紙様式2-2（４・５月分）'!P20:P22)=0,"",SUM('別紙様式2-2（４・５月分）'!P20:P22))</f>
        <v>5.3999999999999992E-2</v>
      </c>
      <c r="AY22" s="1509" t="str">
        <f>IFERROR(VLOOKUP(K22,【参考】数式用!$AJ$2:$AK$24,2,FALSE),"")</f>
        <v>通所介護</v>
      </c>
      <c r="AZ22" s="1324" t="s">
        <v>2113</v>
      </c>
      <c r="BA22" s="1324" t="s">
        <v>2114</v>
      </c>
      <c r="BB22" s="1324" t="s">
        <v>2115</v>
      </c>
      <c r="BC22" s="1324" t="s">
        <v>2116</v>
      </c>
      <c r="BD22" s="1324" t="str">
        <f>IF(AND(P22&lt;&gt;"新加算Ⅰ",P22&lt;&gt;"新加算Ⅱ",P22&lt;&gt;"新加算Ⅲ",P22&lt;&gt;"新加算Ⅳ"),P22,IF(Q24&lt;&gt;"",Q24,""))</f>
        <v xml:space="preserve">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東京都</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特定加算なし</v>
      </c>
      <c r="AX23" s="1510"/>
      <c r="AY23" s="1509"/>
      <c r="AZ23" s="1324"/>
      <c r="BA23" s="1324"/>
      <c r="BB23" s="1324"/>
      <c r="BC23" s="1324"/>
      <c r="BD23" s="1324"/>
      <c r="BE23" s="1324"/>
      <c r="BF23" s="1324"/>
      <c r="BG23" s="1324"/>
      <c r="BH23" s="1324"/>
      <c r="BI23" s="1324"/>
      <c r="BJ23" s="1515"/>
      <c r="BK23" s="1496"/>
      <c r="BL23" s="555" t="str">
        <f>G22</f>
        <v>東京都</v>
      </c>
    </row>
    <row r="24" spans="1:64" ht="15" customHeight="1">
      <c r="A24" s="1250"/>
      <c r="B24" s="1286"/>
      <c r="C24" s="1263"/>
      <c r="D24" s="1263"/>
      <c r="E24" s="1263"/>
      <c r="F24" s="1264"/>
      <c r="G24" s="1268"/>
      <c r="H24" s="1268"/>
      <c r="I24" s="1268"/>
      <c r="J24" s="1375"/>
      <c r="K24" s="1268"/>
      <c r="L24" s="1454"/>
      <c r="M24" s="1451"/>
      <c r="N24" s="1374"/>
      <c r="O24" s="1371"/>
      <c r="P24" s="1393" t="s">
        <v>2196</v>
      </c>
      <c r="Q24" s="1389" t="str">
        <f>IFERROR(VLOOKUP('別紙様式2-2（４・５月分）'!AR20,【参考】数式用!$AT$5:$AV$22,3,FALSE),"")</f>
        <v xml:space="preserve"> </v>
      </c>
      <c r="R24" s="1391" t="s">
        <v>2207</v>
      </c>
      <c r="S24" s="1399" t="str">
        <f>IFERROR(VLOOKUP(K22,【参考】数式用!$A$5:$AB$27,MATCH(Q24,【参考】数式用!$B$4:$AB$4,0)+1,0),"")</f>
        <v/>
      </c>
      <c r="T24" s="1462" t="s">
        <v>231</v>
      </c>
      <c r="U24" s="1464" t="s">
        <v>2116</v>
      </c>
      <c r="V24" s="1466">
        <f>IFERROR(VLOOKUP(K22,【参考】数式用!$A$5:$AB$27,MATCH(U24,【参考】数式用!$B$4:$AB$4,0)+1,0),"")</f>
        <v>6.3999999999999987E-2</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f>IFERROR(ROUNDDOWN(ROUND(L22*V24,0)*M22,0)*AG24,"")</f>
        <v>2553216</v>
      </c>
      <c r="AJ24" s="1472">
        <f>IFERROR(ROUNDDOWN(ROUND((L22*(V24-AX22)),0)*M22,0)*AG24,"")</f>
        <v>398940</v>
      </c>
      <c r="AK24" s="1497">
        <f>IFERROR(IF(OR(N22="",N23="",N25=""),0,ROUNDDOWN(ROUNDDOWN(ROUND(L22*VLOOKUP(K22,【参考】数式用!$A$5:$AB$27,MATCH("新加算Ⅳ",【参考】数式用!$B$4:$AB$4,0)+1,0),0)*M22,0)*AG24*0.5,0)),"")</f>
        <v>1276608</v>
      </c>
      <c r="AL24" s="1438" t="str">
        <f>IF(U24&lt;&gt;"","新規に適用","")</f>
        <v>新規に適用</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新規に適用</v>
      </c>
      <c r="AO24" s="1359" t="str">
        <f>IF(AND(U24&lt;&gt;"",AO22=""),"新規に適用",IF(AND(U24&lt;&gt;"",AO22&lt;&gt;""),"継続で適用",""))</f>
        <v>継続で適用</v>
      </c>
      <c r="AP24" s="1361"/>
      <c r="AQ24" s="1359" t="str">
        <f>IF(AND(U24&lt;&gt;"",AQ22=""),"新規に適用",IF(AND(U24&lt;&gt;"",AQ22&lt;&gt;""),"継続で適用",""))</f>
        <v>新規に適用</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新規に適用</v>
      </c>
      <c r="AT24" s="1334"/>
      <c r="AU24" s="663"/>
      <c r="AV24" s="1496" t="str">
        <f>IF(K22&lt;&gt;"","V列に色付け","")</f>
        <v>V列に色付け</v>
      </c>
      <c r="AW24" s="1519"/>
      <c r="AX24" s="1510"/>
      <c r="AY24" s="175"/>
      <c r="AZ24" s="175"/>
      <c r="BA24" s="175"/>
      <c r="BB24" s="175"/>
      <c r="BC24" s="175"/>
      <c r="BD24" s="175"/>
      <c r="BE24" s="175"/>
      <c r="BF24" s="175"/>
      <c r="BG24" s="175"/>
      <c r="BH24" s="175"/>
      <c r="BI24" s="175"/>
      <c r="BJ24" s="175"/>
      <c r="BK24" s="175"/>
      <c r="BL24" s="555" t="str">
        <f>G22</f>
        <v>東京都</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ベア加算</v>
      </c>
      <c r="AX25" s="1510"/>
      <c r="AY25" s="175"/>
      <c r="AZ25" s="175"/>
      <c r="BA25" s="175"/>
      <c r="BB25" s="175"/>
      <c r="BC25" s="175"/>
      <c r="BD25" s="175"/>
      <c r="BE25" s="175"/>
      <c r="BF25" s="175"/>
      <c r="BG25" s="175"/>
      <c r="BH25" s="175"/>
      <c r="BI25" s="175"/>
      <c r="BJ25" s="175"/>
      <c r="BK25" s="175"/>
      <c r="BL25" s="555" t="str">
        <f>G22</f>
        <v>東京都</v>
      </c>
    </row>
    <row r="26" spans="1:64"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2189</v>
      </c>
      <c r="U26" s="1458" t="s">
        <v>2424</v>
      </c>
      <c r="V26" s="1460">
        <f>IFERROR(VLOOKUP(K26,【参考】数式用!$A$5:$AB$27,MATCH(U26,【参考】数式用!$B$4:$AB$4,0)+1,0),"")</f>
        <v>5.6000000000000001E-2</v>
      </c>
      <c r="W26" s="1353" t="s">
        <v>19</v>
      </c>
      <c r="X26" s="1355">
        <v>6</v>
      </c>
      <c r="Y26" s="1357" t="s">
        <v>10</v>
      </c>
      <c r="Z26" s="1355">
        <v>6</v>
      </c>
      <c r="AA26" s="1357" t="s">
        <v>45</v>
      </c>
      <c r="AB26" s="1355">
        <v>6</v>
      </c>
      <c r="AC26" s="1357" t="s">
        <v>10</v>
      </c>
      <c r="AD26" s="1355">
        <v>9</v>
      </c>
      <c r="AE26" s="1357" t="s">
        <v>13</v>
      </c>
      <c r="AF26" s="1357" t="s">
        <v>24</v>
      </c>
      <c r="AG26" s="1357">
        <f>IF(X26&gt;=1,(AB26*12+AD26)-(X26*12+Z26)+1,"")</f>
        <v>4</v>
      </c>
      <c r="AH26" s="1363" t="s">
        <v>38</v>
      </c>
      <c r="AI26" s="1484">
        <f>IFERROR(ROUNDDOWN(ROUND(L26*V26,0)*M26,0)*AG26,"")</f>
        <v>857808</v>
      </c>
      <c r="AJ26" s="1486">
        <f>IFERROR(ROUNDDOWN(ROUND((L26*(V26-AX26)),0)*M26,0)*AG26,"")</f>
        <v>229768</v>
      </c>
      <c r="AK26" s="1488">
        <f>IFERROR(IF(OR(N26="",N27="",N29=""),0,ROUNDDOWN(ROUNDDOWN(ROUND(L26*VLOOKUP(K26,【参考】数式用!$A$5:$AB$27,MATCH("新加算Ⅳ",【参考】数式用!$B$4:$AB$4,0)+1,0),0)*M26,0)*AG26*0.5,0)),"")</f>
        <v>811854</v>
      </c>
      <c r="AL26" s="1436"/>
      <c r="AM26" s="1490">
        <f>IFERROR(IF(OR(N29="ベア加算",N29=""),0, IF(OR(U26="新加算Ⅰ",U26="新加算Ⅱ",U26="新加算Ⅲ",U26="新加算Ⅳ"),ROUNDDOWN(ROUND(L26*VLOOKUP(K26,【参考】数式用!$A$5:$I$27,MATCH("ベア加算",【参考】数式用!$B$4:$I$4,0)+1,0),0)*M26,0)*AG26,0)),"")</f>
        <v>0</v>
      </c>
      <c r="AN26" s="1505"/>
      <c r="AO26" s="1367"/>
      <c r="AP26" s="1406" t="s">
        <v>165</v>
      </c>
      <c r="AQ26" s="1406"/>
      <c r="AR26" s="1492"/>
      <c r="AS26" s="1494"/>
      <c r="AT26" s="568" t="str">
        <f t="shared" si="0"/>
        <v/>
      </c>
      <c r="AU26" s="663"/>
      <c r="AV26" s="1496" t="str">
        <f>IF(K26&lt;&gt;"","V列に色付け","")</f>
        <v>V列に色付け</v>
      </c>
      <c r="AW26" s="661" t="str">
        <f>IF('別紙様式2-2（４・５月分）'!O23="","",'別紙様式2-2（４・５月分）'!O23)</f>
        <v>処遇加算Ⅲ</v>
      </c>
      <c r="AX26" s="1510">
        <f>IF(SUM('別紙様式2-2（４・５月分）'!P23:P25)=0,"",SUM('別紙様式2-2（４・５月分）'!P23:P25))</f>
        <v>4.1000000000000002E-2</v>
      </c>
      <c r="AY26" s="1509" t="str">
        <f>IFERROR(VLOOKUP(K26,【参考】数式用!$AJ$2:$AK$24,2,FALSE),"")</f>
        <v>介護予防_小規模多機能型居宅介護</v>
      </c>
      <c r="AZ26" s="1324" t="s">
        <v>2113</v>
      </c>
      <c r="BA26" s="1324" t="s">
        <v>2114</v>
      </c>
      <c r="BB26" s="1324" t="s">
        <v>2115</v>
      </c>
      <c r="BC26" s="1324" t="s">
        <v>2116</v>
      </c>
      <c r="BD26" s="1324" t="str">
        <f>IF(AND(P26&lt;&gt;"新加算Ⅰ",P26&lt;&gt;"新加算Ⅱ",P26&lt;&gt;"新加算Ⅲ",P26&lt;&gt;"新加算Ⅳ"),P26,IF(Q28&lt;&gt;"",Q28,""))</f>
        <v>新加算Ⅴ（14）</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入力済</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中央区</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！算定期間の終わりが令和７年３月になっていません。区分変更を行う場合は、別紙様式2-4に記入してください。</v>
      </c>
      <c r="AU27" s="663"/>
      <c r="AV27" s="1496"/>
      <c r="AW27" s="1519" t="str">
        <f>IF('別紙様式2-2（４・５月分）'!O24="","",'別紙様式2-2（４・５月分）'!O24)</f>
        <v>特定加算なし</v>
      </c>
      <c r="AX27" s="1510"/>
      <c r="AY27" s="1509"/>
      <c r="AZ27" s="1324"/>
      <c r="BA27" s="1324"/>
      <c r="BB27" s="1324"/>
      <c r="BC27" s="1324"/>
      <c r="BD27" s="1324"/>
      <c r="BE27" s="1324"/>
      <c r="BF27" s="1324"/>
      <c r="BG27" s="1324"/>
      <c r="BH27" s="1324"/>
      <c r="BI27" s="1324"/>
      <c r="BJ27" s="1515"/>
      <c r="BK27" s="1496"/>
      <c r="BL27" s="555" t="str">
        <f>G26</f>
        <v>中央区</v>
      </c>
    </row>
    <row r="28" spans="1:64"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231</v>
      </c>
      <c r="U28" s="1464" t="s">
        <v>2114</v>
      </c>
      <c r="V28" s="1466">
        <f>IFERROR(VLOOKUP(K26,【参考】数式用!$A$5:$AB$27,MATCH(U28,【参考】数式用!$B$4:$AB$4,0)+1,0),"")</f>
        <v>0.14600000000000002</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f>IFERROR(ROUNDDOWN(ROUND(L26*V28,0)*M26,0)*AG28,"")</f>
        <v>6709284</v>
      </c>
      <c r="AJ28" s="1472">
        <f>IFERROR(ROUNDDOWN(ROUND((L26*(V28-AX26)),0)*M26,0)*AG28,"")</f>
        <v>4825164</v>
      </c>
      <c r="AK28" s="1497">
        <f>IFERROR(IF(OR(N26="",N27="",N29=""),0,ROUNDDOWN(ROUNDDOWN(ROUND(L26*VLOOKUP(K26,【参考】数式用!$A$5:$AB$27,MATCH("新加算Ⅳ",【参考】数式用!$B$4:$AB$4,0)+1,0),0)*M26,0)*AG28*0.5,0)),"")</f>
        <v>2435562</v>
      </c>
      <c r="AL28" s="1438" t="str">
        <f>IF(U28&lt;&gt;"","新規に適用","")</f>
        <v>新規に適用</v>
      </c>
      <c r="AM28" s="1501">
        <f>IFERROR(IF(OR(N29="ベア加算",N29=""),0, IF(OR(U26="新加算Ⅰ",U26="新加算Ⅱ",U26="新加算Ⅲ",U26="新加算Ⅳ"),0,ROUNDDOWN(ROUND(L26*VLOOKUP(K26,【参考】数式用!$A$5:$I$27,MATCH("ベア加算",【参考】数式用!$B$4:$I$4,0)+1,0),0)*M26,0)*AG28)),"")</f>
        <v>781212</v>
      </c>
      <c r="AN28" s="1359" t="str">
        <f>IF(AND(U28&lt;&gt;"",AN26=""),"新規に適用",IF(AND(U28&lt;&gt;"",AN26&lt;&gt;""),"継続で適用",""))</f>
        <v>新規に適用</v>
      </c>
      <c r="AO28" s="1359" t="str">
        <f>IF(AND(U28&lt;&gt;"",AO26=""),"新規に適用",IF(AND(U28&lt;&gt;"",AO26&lt;&gt;""),"継続で適用",""))</f>
        <v>新規に適用</v>
      </c>
      <c r="AP28" s="1361"/>
      <c r="AQ28" s="1359" t="str">
        <f>IF(AND(U28&lt;&gt;"",AQ26=""),"新規に適用",IF(AND(U28&lt;&gt;"",AQ26&lt;&gt;""),"継続で適用",""))</f>
        <v>新規に適用</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9" t="str">
        <f>IF(AND(U28&lt;&gt;"",AS26=""),"新規に適用",IF(AND(U28&lt;&gt;"",AS26&lt;&gt;""),"継続で適用",""))</f>
        <v>新規に適用</v>
      </c>
      <c r="AT28" s="1334"/>
      <c r="AU28" s="663"/>
      <c r="AV28" s="1496" t="str">
        <f>IF(K26&lt;&gt;"","V列に色付け","")</f>
        <v>V列に色付け</v>
      </c>
      <c r="AW28" s="1519"/>
      <c r="AX28" s="1510"/>
      <c r="AY28" s="175"/>
      <c r="AZ28" s="175"/>
      <c r="BA28" s="175"/>
      <c r="BB28" s="175"/>
      <c r="BC28" s="175"/>
      <c r="BD28" s="175"/>
      <c r="BE28" s="175"/>
      <c r="BF28" s="175"/>
      <c r="BG28" s="175"/>
      <c r="BH28" s="175"/>
      <c r="BI28" s="175"/>
      <c r="BJ28" s="175"/>
      <c r="BK28" s="175"/>
      <c r="BL28" s="555" t="str">
        <f>G26</f>
        <v>中央区</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ベア加算なし</v>
      </c>
      <c r="AX29" s="1510"/>
      <c r="AY29" s="175"/>
      <c r="AZ29" s="175"/>
      <c r="BA29" s="175"/>
      <c r="BB29" s="175"/>
      <c r="BC29" s="175"/>
      <c r="BD29" s="175"/>
      <c r="BE29" s="175"/>
      <c r="BF29" s="175"/>
      <c r="BG29" s="175"/>
      <c r="BH29" s="175"/>
      <c r="BI29" s="175"/>
      <c r="BJ29" s="175"/>
      <c r="BK29" s="175"/>
      <c r="BL29" s="555" t="str">
        <f>G26</f>
        <v>中央区</v>
      </c>
    </row>
    <row r="30" spans="1:64"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2189</v>
      </c>
      <c r="U30" s="1458" t="s">
        <v>2425</v>
      </c>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V列に色付け</v>
      </c>
      <c r="AW30" s="664" t="str">
        <f>IF('別紙様式2-2（４・５月分）'!O26="","",'別紙様式2-2（４・５月分）'!O26)</f>
        <v>処遇加算Ⅱ</v>
      </c>
      <c r="AX30" s="1524">
        <f>IF(SUM('別紙様式2-2（４・５月分）'!P26:P28)=0,"",SUM('別紙様式2-2（４・５月分）'!P26:P28))</f>
        <v>0.06</v>
      </c>
      <c r="AY30" s="1509" t="str">
        <f>IFERROR(VLOOKUP(K30,【参考】数式用!$AJ$2:$AK$24,2,FALSE),"")</f>
        <v>介護老人福祉施設</v>
      </c>
      <c r="AZ30" s="1324" t="s">
        <v>2113</v>
      </c>
      <c r="BA30" s="1324" t="s">
        <v>2114</v>
      </c>
      <c r="BB30" s="1324" t="s">
        <v>2115</v>
      </c>
      <c r="BC30" s="1324" t="s">
        <v>2116</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千葉県</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千葉県</v>
      </c>
    </row>
    <row r="32" spans="1:64" ht="15" customHeight="1">
      <c r="A32" s="1250"/>
      <c r="B32" s="1286"/>
      <c r="C32" s="1263"/>
      <c r="D32" s="1263"/>
      <c r="E32" s="1263"/>
      <c r="F32" s="1264"/>
      <c r="G32" s="1268"/>
      <c r="H32" s="1268"/>
      <c r="I32" s="1268"/>
      <c r="J32" s="1375"/>
      <c r="K32" s="1268"/>
      <c r="L32" s="1454"/>
      <c r="M32" s="1451"/>
      <c r="N32" s="1374"/>
      <c r="O32" s="1371"/>
      <c r="P32" s="1393" t="s">
        <v>2196</v>
      </c>
      <c r="Q32" s="1389" t="str">
        <f>IFERROR(VLOOKUP('別紙様式2-2（４・５月分）'!AR26,【参考】数式用!$AT$5:$AV$22,3,FALSE),"")</f>
        <v/>
      </c>
      <c r="R32" s="1391" t="s">
        <v>2207</v>
      </c>
      <c r="S32" s="1399" t="str">
        <f>IFERROR(VLOOKUP(K30,【参考】数式用!$A$5:$AB$27,MATCH(Q32,【参考】数式用!$B$4:$AB$4,0)+1,0),"")</f>
        <v/>
      </c>
      <c r="T32" s="1462" t="s">
        <v>231</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V列に色付け</v>
      </c>
      <c r="AW32" s="1521"/>
      <c r="AX32" s="1524"/>
      <c r="AY32" s="175"/>
      <c r="AZ32" s="175"/>
      <c r="BA32" s="175"/>
      <c r="BB32" s="175"/>
      <c r="BC32" s="175"/>
      <c r="BD32" s="175"/>
      <c r="BE32" s="175"/>
      <c r="BF32" s="175"/>
      <c r="BG32" s="175"/>
      <c r="BH32" s="175"/>
      <c r="BI32" s="175"/>
      <c r="BJ32" s="175"/>
      <c r="BK32" s="175"/>
      <c r="BL32" s="555" t="str">
        <f>G30</f>
        <v>千葉県</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千葉県</v>
      </c>
    </row>
    <row r="34" spans="1:64"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274">
        <f>IF(基本情報入力シート!AB59="","",基本情報入力シート!AB59)</f>
        <v>1935000</v>
      </c>
      <c r="M34" s="1377">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2189</v>
      </c>
      <c r="U34" s="1418" t="s">
        <v>2114</v>
      </c>
      <c r="V34" s="1460">
        <f>IFERROR(VLOOKUP(K34,【参考】数式用!$A$5:$AB$27,MATCH(U34,【参考】数式用!$B$4:$AB$4,0)+1,0),"")</f>
        <v>0.13600000000000001</v>
      </c>
      <c r="W34" s="1353" t="s">
        <v>19</v>
      </c>
      <c r="X34" s="1355">
        <v>6</v>
      </c>
      <c r="Y34" s="1357" t="s">
        <v>10</v>
      </c>
      <c r="Z34" s="1355">
        <v>6</v>
      </c>
      <c r="AA34" s="1357" t="s">
        <v>45</v>
      </c>
      <c r="AB34" s="1355">
        <v>7</v>
      </c>
      <c r="AC34" s="1357" t="s">
        <v>10</v>
      </c>
      <c r="AD34" s="1355">
        <v>3</v>
      </c>
      <c r="AE34" s="1357" t="s">
        <v>2188</v>
      </c>
      <c r="AF34" s="1357" t="s">
        <v>24</v>
      </c>
      <c r="AG34" s="1357">
        <f>IF(X34&gt;=1,(AB34*12+AD34)-(X34*12+Z34)+1,"")</f>
        <v>10</v>
      </c>
      <c r="AH34" s="1363" t="s">
        <v>38</v>
      </c>
      <c r="AI34" s="1484">
        <f>IFERROR(ROUNDDOWN(ROUND(L34*V34,0)*M34,0)*AG34,"")</f>
        <v>28105480</v>
      </c>
      <c r="AJ34" s="1486">
        <f>IFERROR(ROUNDDOWN(ROUND((L34*(V34-AX34)),0)*M34,0)*AG34,"")</f>
        <v>10952870</v>
      </c>
      <c r="AK34" s="1488">
        <f>IFERROR(IF(OR(N34="",N35="",N37=""),0,ROUNDDOWN(ROUNDDOWN(ROUND(L34*VLOOKUP(K34,【参考】数式用!$A$5:$AB$27,MATCH("新加算Ⅳ",【参考】数式用!$B$4:$AB$4,0)+1,0),0)*M34,0)*AG34*0.5,0)),"")</f>
        <v>9299610</v>
      </c>
      <c r="AL34" s="1436"/>
      <c r="AM34" s="1490">
        <f>IFERROR(IF(OR(N37="ベア加算",N37=""),0, IF(OR(U34="新加算Ⅰ",U34="新加算Ⅱ",U34="新加算Ⅲ",U34="新加算Ⅳ"),ROUNDDOWN(ROUND(L34*VLOOKUP(K34,【参考】数式用!$A$5:$I$27,MATCH("ベア加算",【参考】数式用!$B$4:$I$4,0)+1,0),0)*M34,0)*AG34,0)),"")</f>
        <v>3306520</v>
      </c>
      <c r="AN34" s="1505" t="s">
        <v>165</v>
      </c>
      <c r="AO34" s="1367" t="s">
        <v>165</v>
      </c>
      <c r="AP34" s="1406"/>
      <c r="AQ34" s="1406" t="s">
        <v>2197</v>
      </c>
      <c r="AR34" s="1492">
        <v>1</v>
      </c>
      <c r="AS34" s="1494"/>
      <c r="AT34" s="568" t="str">
        <f t="shared" si="0"/>
        <v/>
      </c>
      <c r="AU34" s="663"/>
      <c r="AV34" s="1496" t="str">
        <f>IF(K34&lt;&gt;"","V列に色付け","")</f>
        <v>V列に色付け</v>
      </c>
      <c r="AW34" s="664" t="str">
        <f>IF('別紙様式2-2（４・５月分）'!O29="","",'別紙様式2-2（４・５月分）'!O29)</f>
        <v>処遇加算Ⅱ</v>
      </c>
      <c r="AX34" s="1526">
        <f>IF(SUM('別紙様式2-2（４・５月分）'!P29:P31)=0,"",SUM('別紙様式2-2（４・５月分）'!P29:P31))</f>
        <v>8.299999999999999E-2</v>
      </c>
      <c r="AY34" s="1509" t="str">
        <f>IFERROR(VLOOKUP(K34,【参考】数式用!$AJ$2:$AK$24,2,FALSE),"")</f>
        <v>介護老人福祉施設</v>
      </c>
      <c r="AZ34" s="1324" t="s">
        <v>2113</v>
      </c>
      <c r="BA34" s="1324" t="s">
        <v>2114</v>
      </c>
      <c r="BB34" s="1324" t="s">
        <v>2115</v>
      </c>
      <c r="BC34" s="1324" t="s">
        <v>2116</v>
      </c>
      <c r="BD34" s="1324" t="str">
        <f>IF(AND(P34&lt;&gt;"新加算Ⅰ",P34&lt;&gt;"新加算Ⅱ",P34&lt;&gt;"新加算Ⅲ",P34&lt;&gt;"新加算Ⅳ"),P34,IF(Q36&lt;&gt;"",Q36,""))</f>
        <v>新加算Ⅴ（３）</v>
      </c>
      <c r="BE34" s="1324"/>
      <c r="BF34" s="1324" t="str">
        <f t="shared" ref="BF34" si="13">IF(AM34&lt;&gt;0,IF(AN34="○","入力済","未入力"),"")</f>
        <v>入力済</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入力済</v>
      </c>
      <c r="BJ34" s="151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6" t="str">
        <f>IF(OR(U34="新加算Ⅰ",U34="新加算Ⅴ（１）",U34="新加算Ⅴ（２）",U34="新加算Ⅴ（５）",U34="新加算Ⅴ（７）",U34="新加算Ⅴ（10）"),IF(AS34="","未入力","入力済"),"")</f>
        <v/>
      </c>
      <c r="BL34" s="555" t="str">
        <f>G34</f>
        <v>千葉県</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特定加算Ⅱ</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特定加算Ⅱ</v>
      </c>
      <c r="AX35" s="1524"/>
      <c r="AY35" s="1509"/>
      <c r="AZ35" s="1324"/>
      <c r="BA35" s="1324"/>
      <c r="BB35" s="1324"/>
      <c r="BC35" s="1324"/>
      <c r="BD35" s="1324"/>
      <c r="BE35" s="1324"/>
      <c r="BF35" s="1324"/>
      <c r="BG35" s="1324"/>
      <c r="BH35" s="1324"/>
      <c r="BI35" s="1324"/>
      <c r="BJ35" s="1515"/>
      <c r="BK35" s="1496"/>
      <c r="BL35" s="555" t="str">
        <f>G34</f>
        <v>千葉県</v>
      </c>
    </row>
    <row r="36" spans="1:64" ht="15" customHeight="1">
      <c r="A36" s="1250"/>
      <c r="B36" s="1286"/>
      <c r="C36" s="1263"/>
      <c r="D36" s="1263"/>
      <c r="E36" s="1263"/>
      <c r="F36" s="1264"/>
      <c r="G36" s="1268"/>
      <c r="H36" s="1268"/>
      <c r="I36" s="1268"/>
      <c r="J36" s="1375"/>
      <c r="K36" s="1268"/>
      <c r="L36" s="1274"/>
      <c r="M36" s="1377"/>
      <c r="N36" s="1374"/>
      <c r="O36" s="1371"/>
      <c r="P36" s="1393" t="s">
        <v>2196</v>
      </c>
      <c r="Q36" s="1389" t="str">
        <f>IFERROR(VLOOKUP('別紙様式2-2（４・５月分）'!AR29,【参考】数式用!$AT$5:$AV$22,3,FALSE),"")</f>
        <v xml:space="preserve"> </v>
      </c>
      <c r="R36" s="1391" t="s">
        <v>2207</v>
      </c>
      <c r="S36" s="1397" t="str">
        <f>IFERROR(VLOOKUP(K34,【参考】数式用!$A$5:$AB$27,MATCH(Q36,【参考】数式用!$B$4:$AB$4,0)+1,0),"")</f>
        <v/>
      </c>
      <c r="T36" s="1462" t="s">
        <v>231</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2188</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11159532</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V列に色付け</v>
      </c>
      <c r="AW36" s="1521"/>
      <c r="AX36" s="1524"/>
      <c r="AY36" s="175"/>
      <c r="AZ36" s="175"/>
      <c r="BA36" s="175"/>
      <c r="BB36" s="175"/>
      <c r="BC36" s="175"/>
      <c r="BD36" s="175"/>
      <c r="BE36" s="175"/>
      <c r="BF36" s="175"/>
      <c r="BG36" s="175"/>
      <c r="BH36" s="175"/>
      <c r="BI36" s="175"/>
      <c r="BJ36" s="175"/>
      <c r="BK36" s="175"/>
      <c r="BL36" s="555" t="str">
        <f>G34</f>
        <v>千葉県</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ベア加算なし</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ベア加算なし</v>
      </c>
      <c r="AX37" s="1525"/>
      <c r="AY37" s="175"/>
      <c r="AZ37" s="175"/>
      <c r="BA37" s="175"/>
      <c r="BB37" s="175"/>
      <c r="BC37" s="175"/>
      <c r="BD37" s="175"/>
      <c r="BE37" s="175"/>
      <c r="BF37" s="175"/>
      <c r="BG37" s="175"/>
      <c r="BH37" s="175"/>
      <c r="BI37" s="175"/>
      <c r="BJ37" s="175"/>
      <c r="BK37" s="175"/>
      <c r="BL37" s="555" t="str">
        <f>G34</f>
        <v>千葉県</v>
      </c>
    </row>
    <row r="38" spans="1:64"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273">
        <f>IF(基本情報入力シート!AB60="","",基本情報入力シート!AB60)</f>
        <v>237000</v>
      </c>
      <c r="M38" s="1276">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2189</v>
      </c>
      <c r="U38" s="1418" t="s">
        <v>2114</v>
      </c>
      <c r="V38" s="1460">
        <f>IFERROR(VLOOKUP(K38,【参考】数式用!$A$5:$AB$27,MATCH(U38,【参考】数式用!$B$4:$AB$4,0)+1,0),"")</f>
        <v>0.13600000000000001</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f>IFERROR(ROUNDDOWN(ROUND(L38*V38,0)*M38,0)*AG38,"")</f>
        <v>3490720</v>
      </c>
      <c r="AJ38" s="1486">
        <f>IFERROR(ROUNDDOWN(ROUND((L38*(V38-AX38)),0)*M38,0)*AG38,"")</f>
        <v>2643710</v>
      </c>
      <c r="AK38" s="1488">
        <f>IFERROR(IF(OR(N38="",N39="",N41=""),0,ROUNDDOWN(ROUNDDOWN(ROUND(L38*VLOOKUP(K38,【参考】数式用!$A$5:$AB$27,MATCH("新加算Ⅳ",【参考】数式用!$B$4:$AB$4,0)+1,0),0)*M38,0)*AG38*0.5,0)),"")</f>
        <v>1155015</v>
      </c>
      <c r="AL38" s="1436"/>
      <c r="AM38" s="1490">
        <f>IFERROR(IF(OR(N41="ベア加算",N41=""),0, IF(OR(U38="新加算Ⅰ",U38="新加算Ⅱ",U38="新加算Ⅲ",U38="新加算Ⅳ"),ROUNDDOWN(ROUND(L38*VLOOKUP(K38,【参考】数式用!$A$5:$I$27,MATCH("ベア加算",【参考】数式用!$B$4:$I$4,0)+1,0),0)*M38,0)*AG38,0)),"")</f>
        <v>410670</v>
      </c>
      <c r="AN38" s="1505" t="s">
        <v>165</v>
      </c>
      <c r="AO38" s="1367" t="s">
        <v>2197</v>
      </c>
      <c r="AP38" s="1406"/>
      <c r="AQ38" s="1406" t="s">
        <v>2197</v>
      </c>
      <c r="AR38" s="1492"/>
      <c r="AS38" s="1494"/>
      <c r="AT38" s="568" t="str">
        <f t="shared" si="0"/>
        <v/>
      </c>
      <c r="AU38" s="663"/>
      <c r="AV38" s="1496" t="str">
        <f>IF(K38&lt;&gt;"","V列に色付け","")</f>
        <v>V列に色付け</v>
      </c>
      <c r="AW38" s="664" t="str">
        <f>IF('別紙様式2-2（４・５月分）'!O32="","",'別紙様式2-2（４・５月分）'!O32)</f>
        <v>処遇加算Ⅲ</v>
      </c>
      <c r="AX38" s="1510">
        <f>IF(SUM('別紙様式2-2（４・５月分）'!P32:P34)=0,"",SUM('別紙様式2-2（４・５月分）'!P32:P34))</f>
        <v>3.3000000000000002E-2</v>
      </c>
      <c r="AY38" s="1509" t="str">
        <f>IFERROR(VLOOKUP(K38,【参考】数式用!$AJ$2:$AK$24,2,FALSE),"")</f>
        <v>介護予防_短期入所生活介護</v>
      </c>
      <c r="AZ38" s="1324" t="s">
        <v>2113</v>
      </c>
      <c r="BA38" s="1324" t="s">
        <v>2114</v>
      </c>
      <c r="BB38" s="1324" t="s">
        <v>2115</v>
      </c>
      <c r="BC38" s="1324" t="s">
        <v>2116</v>
      </c>
      <c r="BD38" s="1324" t="str">
        <f>IF(AND(P38&lt;&gt;"新加算Ⅰ",P38&lt;&gt;"新加算Ⅱ",P38&lt;&gt;"新加算Ⅲ",P38&lt;&gt;"新加算Ⅳ"),P38,IF(Q40&lt;&gt;"",Q40,""))</f>
        <v>新加算Ⅴ（12）</v>
      </c>
      <c r="BE38" s="1324"/>
      <c r="BF38" s="1324" t="str">
        <f t="shared" ref="BF38" si="17">IF(AM38&lt;&gt;0,IF(AN38="○","入力済","未入力"),"")</f>
        <v>入力済</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入力済</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千葉県</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特定加算Ⅱ</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特定加算なし</v>
      </c>
      <c r="AX39" s="1510"/>
      <c r="AY39" s="1509"/>
      <c r="AZ39" s="1324"/>
      <c r="BA39" s="1324"/>
      <c r="BB39" s="1324"/>
      <c r="BC39" s="1324"/>
      <c r="BD39" s="1324"/>
      <c r="BE39" s="1324"/>
      <c r="BF39" s="1324"/>
      <c r="BG39" s="1324"/>
      <c r="BH39" s="1324"/>
      <c r="BI39" s="1324"/>
      <c r="BJ39" s="1515"/>
      <c r="BK39" s="1496"/>
      <c r="BL39" s="555" t="str">
        <f>G38</f>
        <v>千葉県</v>
      </c>
    </row>
    <row r="40" spans="1:64" ht="15" customHeight="1">
      <c r="A40" s="1250"/>
      <c r="B40" s="1286"/>
      <c r="C40" s="1263"/>
      <c r="D40" s="1263"/>
      <c r="E40" s="1263"/>
      <c r="F40" s="1264"/>
      <c r="G40" s="1268"/>
      <c r="H40" s="1268"/>
      <c r="I40" s="1268"/>
      <c r="J40" s="1375"/>
      <c r="K40" s="1268"/>
      <c r="L40" s="1274"/>
      <c r="M40" s="1277"/>
      <c r="N40" s="1374"/>
      <c r="O40" s="1371"/>
      <c r="P40" s="1393" t="s">
        <v>2196</v>
      </c>
      <c r="Q40" s="1389" t="str">
        <f>IFERROR(VLOOKUP('別紙様式2-2（４・５月分）'!AR32,【参考】数式用!$AT$5:$AV$22,3,FALSE),"")</f>
        <v xml:space="preserve"> </v>
      </c>
      <c r="R40" s="1391" t="s">
        <v>2207</v>
      </c>
      <c r="S40" s="1399" t="str">
        <f>IFERROR(VLOOKUP(K38,【参考】数式用!$A$5:$AB$27,MATCH(Q40,【参考】数式用!$B$4:$AB$4,0)+1,0),"")</f>
        <v/>
      </c>
      <c r="T40" s="1462" t="s">
        <v>231</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1386018</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V列に色付け</v>
      </c>
      <c r="AW40" s="1521"/>
      <c r="AX40" s="1510"/>
      <c r="AY40" s="175"/>
      <c r="AZ40" s="175"/>
      <c r="BA40" s="175"/>
      <c r="BB40" s="175"/>
      <c r="BC40" s="175"/>
      <c r="BD40" s="175"/>
      <c r="BE40" s="175"/>
      <c r="BF40" s="175"/>
      <c r="BG40" s="175"/>
      <c r="BH40" s="175"/>
      <c r="BI40" s="175"/>
      <c r="BJ40" s="175"/>
      <c r="BK40" s="175"/>
      <c r="BL40" s="555" t="str">
        <f>G38</f>
        <v>千葉県</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ベア加算なし</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ベア加算なし</v>
      </c>
      <c r="AX41" s="1510"/>
      <c r="AY41" s="175"/>
      <c r="AZ41" s="175"/>
      <c r="BA41" s="175"/>
      <c r="BB41" s="175"/>
      <c r="BC41" s="175"/>
      <c r="BD41" s="175"/>
      <c r="BE41" s="175"/>
      <c r="BF41" s="175"/>
      <c r="BG41" s="175"/>
      <c r="BH41" s="175"/>
      <c r="BI41" s="175"/>
      <c r="BJ41" s="175"/>
      <c r="BK41" s="175"/>
      <c r="BL41" s="555" t="str">
        <f>G38</f>
        <v>千葉県</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2189</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2113</v>
      </c>
      <c r="BA42" s="1324" t="s">
        <v>2114</v>
      </c>
      <c r="BB42" s="1324" t="s">
        <v>2115</v>
      </c>
      <c r="BC42" s="1324" t="s">
        <v>2116</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2196</v>
      </c>
      <c r="Q44" s="1389" t="str">
        <f>IFERROR(VLOOKUP('別紙様式2-2（４・５月分）'!AR35,【参考】数式用!$AT$5:$AV$22,3,FALSE),"")</f>
        <v/>
      </c>
      <c r="R44" s="1391" t="s">
        <v>2207</v>
      </c>
      <c r="S44" s="1397" t="str">
        <f>IFERROR(VLOOKUP(K42,【参考】数式用!$A$5:$AB$27,MATCH(Q44,【参考】数式用!$B$4:$AB$4,0)+1,0),"")</f>
        <v/>
      </c>
      <c r="T44" s="1462" t="s">
        <v>231</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2189</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2113</v>
      </c>
      <c r="BA46" s="1324" t="s">
        <v>2114</v>
      </c>
      <c r="BB46" s="1324" t="s">
        <v>2115</v>
      </c>
      <c r="BC46" s="1324" t="s">
        <v>2116</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2196</v>
      </c>
      <c r="Q48" s="1389" t="str">
        <f>IFERROR(VLOOKUP('別紙様式2-2（４・５月分）'!AR38,【参考】数式用!$AT$5:$AV$22,3,FALSE),"")</f>
        <v/>
      </c>
      <c r="R48" s="1391" t="s">
        <v>2207</v>
      </c>
      <c r="S48" s="1399" t="str">
        <f>IFERROR(VLOOKUP(K46,【参考】数式用!$A$5:$AB$27,MATCH(Q48,【参考】数式用!$B$4:$AB$4,0)+1,0),"")</f>
        <v/>
      </c>
      <c r="T48" s="1462" t="s">
        <v>231</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2189</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2113</v>
      </c>
      <c r="BA50" s="1324" t="s">
        <v>2114</v>
      </c>
      <c r="BB50" s="1324" t="s">
        <v>2115</v>
      </c>
      <c r="BC50" s="1324" t="s">
        <v>2116</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2196</v>
      </c>
      <c r="Q52" s="1389" t="str">
        <f>IFERROR(VLOOKUP('別紙様式2-2（４・５月分）'!AR41,【参考】数式用!$AT$5:$AV$22,3,FALSE),"")</f>
        <v/>
      </c>
      <c r="R52" s="1391" t="s">
        <v>2207</v>
      </c>
      <c r="S52" s="1397" t="str">
        <f>IFERROR(VLOOKUP(K50,【参考】数式用!$A$5:$AB$27,MATCH(Q52,【参考】数式用!$B$4:$AB$4,0)+1,0),"")</f>
        <v/>
      </c>
      <c r="T52" s="1462" t="s">
        <v>231</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2189</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2113</v>
      </c>
      <c r="BA54" s="1324" t="s">
        <v>2114</v>
      </c>
      <c r="BB54" s="1324" t="s">
        <v>2115</v>
      </c>
      <c r="BC54" s="1324" t="s">
        <v>2116</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2196</v>
      </c>
      <c r="Q56" s="1389" t="str">
        <f>IFERROR(VLOOKUP('別紙様式2-2（４・５月分）'!AR44,【参考】数式用!$AT$5:$AV$22,3,FALSE),"")</f>
        <v/>
      </c>
      <c r="R56" s="1391" t="s">
        <v>2207</v>
      </c>
      <c r="S56" s="1399" t="str">
        <f>IFERROR(VLOOKUP(K54,【参考】数式用!$A$5:$AB$27,MATCH(Q56,【参考】数式用!$B$4:$AB$4,0)+1,0),"")</f>
        <v/>
      </c>
      <c r="T56" s="1462" t="s">
        <v>231</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2189</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2113</v>
      </c>
      <c r="BA58" s="1324" t="s">
        <v>2114</v>
      </c>
      <c r="BB58" s="1324" t="s">
        <v>2115</v>
      </c>
      <c r="BC58" s="1324" t="s">
        <v>2116</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2196</v>
      </c>
      <c r="Q60" s="1389" t="str">
        <f>IFERROR(VLOOKUP('別紙様式2-2（４・５月分）'!AR47,【参考】数式用!$AT$5:$AV$22,3,FALSE),"")</f>
        <v/>
      </c>
      <c r="R60" s="1391" t="s">
        <v>2207</v>
      </c>
      <c r="S60" s="1397" t="str">
        <f>IFERROR(VLOOKUP(K58,【参考】数式用!$A$5:$AB$27,MATCH(Q60,【参考】数式用!$B$4:$AB$4,0)+1,0),"")</f>
        <v/>
      </c>
      <c r="T60" s="1462" t="s">
        <v>231</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2189</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2113</v>
      </c>
      <c r="BA62" s="1324" t="s">
        <v>2114</v>
      </c>
      <c r="BB62" s="1324" t="s">
        <v>2115</v>
      </c>
      <c r="BC62" s="1324" t="s">
        <v>2116</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2196</v>
      </c>
      <c r="Q64" s="1389" t="str">
        <f>IFERROR(VLOOKUP('別紙様式2-2（４・５月分）'!AR50,【参考】数式用!$AT$5:$AV$22,3,FALSE),"")</f>
        <v/>
      </c>
      <c r="R64" s="1391" t="s">
        <v>2207</v>
      </c>
      <c r="S64" s="1399" t="str">
        <f>IFERROR(VLOOKUP(K62,【参考】数式用!$A$5:$AB$27,MATCH(Q64,【参考】数式用!$B$4:$AB$4,0)+1,0),"")</f>
        <v/>
      </c>
      <c r="T64" s="1462" t="s">
        <v>231</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2189</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2113</v>
      </c>
      <c r="BA66" s="1324" t="s">
        <v>2114</v>
      </c>
      <c r="BB66" s="1324" t="s">
        <v>2115</v>
      </c>
      <c r="BC66" s="1324" t="s">
        <v>2116</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2196</v>
      </c>
      <c r="Q68" s="1389" t="str">
        <f>IFERROR(VLOOKUP('別紙様式2-2（４・５月分）'!AR53,【参考】数式用!$AT$5:$AV$22,3,FALSE),"")</f>
        <v/>
      </c>
      <c r="R68" s="1391" t="s">
        <v>2207</v>
      </c>
      <c r="S68" s="1397" t="str">
        <f>IFERROR(VLOOKUP(K66,【参考】数式用!$A$5:$AB$27,MATCH(Q68,【参考】数式用!$B$4:$AB$4,0)+1,0),"")</f>
        <v/>
      </c>
      <c r="T68" s="1462" t="s">
        <v>231</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2189</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2113</v>
      </c>
      <c r="BA70" s="1324" t="s">
        <v>2114</v>
      </c>
      <c r="BB70" s="1324" t="s">
        <v>2115</v>
      </c>
      <c r="BC70" s="1324" t="s">
        <v>2116</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2196</v>
      </c>
      <c r="Q72" s="1389" t="str">
        <f>IFERROR(VLOOKUP('別紙様式2-2（４・５月分）'!AR56,【参考】数式用!$AT$5:$AV$22,3,FALSE),"")</f>
        <v/>
      </c>
      <c r="R72" s="1391" t="s">
        <v>2207</v>
      </c>
      <c r="S72" s="1399" t="str">
        <f>IFERROR(VLOOKUP(K70,【参考】数式用!$A$5:$AB$27,MATCH(Q72,【参考】数式用!$B$4:$AB$4,0)+1,0),"")</f>
        <v/>
      </c>
      <c r="T72" s="1462" t="s">
        <v>231</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2189</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2113</v>
      </c>
      <c r="BA74" s="1324" t="s">
        <v>2114</v>
      </c>
      <c r="BB74" s="1324" t="s">
        <v>2115</v>
      </c>
      <c r="BC74" s="1324" t="s">
        <v>2116</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2196</v>
      </c>
      <c r="Q76" s="1389" t="str">
        <f>IFERROR(VLOOKUP('別紙様式2-2（４・５月分）'!AR59,【参考】数式用!$AT$5:$AV$22,3,FALSE),"")</f>
        <v/>
      </c>
      <c r="R76" s="1391" t="s">
        <v>2207</v>
      </c>
      <c r="S76" s="1397" t="str">
        <f>IFERROR(VLOOKUP(K74,【参考】数式用!$A$5:$AB$27,MATCH(Q76,【参考】数式用!$B$4:$AB$4,0)+1,0),"")</f>
        <v/>
      </c>
      <c r="T76" s="1462" t="s">
        <v>231</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2189</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2113</v>
      </c>
      <c r="BA78" s="1324" t="s">
        <v>2114</v>
      </c>
      <c r="BB78" s="1324" t="s">
        <v>2115</v>
      </c>
      <c r="BC78" s="1324" t="s">
        <v>2116</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2196</v>
      </c>
      <c r="Q80" s="1389" t="str">
        <f>IFERROR(VLOOKUP('別紙様式2-2（４・５月分）'!AR62,【参考】数式用!$AT$5:$AV$22,3,FALSE),"")</f>
        <v/>
      </c>
      <c r="R80" s="1391" t="s">
        <v>2207</v>
      </c>
      <c r="S80" s="1399" t="str">
        <f>IFERROR(VLOOKUP(K78,【参考】数式用!$A$5:$AB$27,MATCH(Q80,【参考】数式用!$B$4:$AB$4,0)+1,0),"")</f>
        <v/>
      </c>
      <c r="T80" s="1462" t="s">
        <v>231</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2189</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2113</v>
      </c>
      <c r="BA82" s="1324" t="s">
        <v>2114</v>
      </c>
      <c r="BB82" s="1324" t="s">
        <v>2115</v>
      </c>
      <c r="BC82" s="1324" t="s">
        <v>2116</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2196</v>
      </c>
      <c r="Q84" s="1389" t="str">
        <f>IFERROR(VLOOKUP('別紙様式2-2（４・５月分）'!AR65,【参考】数式用!$AT$5:$AV$22,3,FALSE),"")</f>
        <v/>
      </c>
      <c r="R84" s="1391" t="s">
        <v>2207</v>
      </c>
      <c r="S84" s="1397" t="str">
        <f>IFERROR(VLOOKUP(K82,【参考】数式用!$A$5:$AB$27,MATCH(Q84,【参考】数式用!$B$4:$AB$4,0)+1,0),"")</f>
        <v/>
      </c>
      <c r="T84" s="1462" t="s">
        <v>231</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2189</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2113</v>
      </c>
      <c r="BA86" s="1324" t="s">
        <v>2114</v>
      </c>
      <c r="BB86" s="1324" t="s">
        <v>2115</v>
      </c>
      <c r="BC86" s="1324" t="s">
        <v>2116</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2196</v>
      </c>
      <c r="Q88" s="1389" t="str">
        <f>IFERROR(VLOOKUP('別紙様式2-2（４・５月分）'!AR68,【参考】数式用!$AT$5:$AV$22,3,FALSE),"")</f>
        <v/>
      </c>
      <c r="R88" s="1391" t="s">
        <v>2207</v>
      </c>
      <c r="S88" s="1399" t="str">
        <f>IFERROR(VLOOKUP(K86,【参考】数式用!$A$5:$AB$27,MATCH(Q88,【参考】数式用!$B$4:$AB$4,0)+1,0),"")</f>
        <v/>
      </c>
      <c r="T88" s="1462" t="s">
        <v>231</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2189</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2113</v>
      </c>
      <c r="BA90" s="1324" t="s">
        <v>2114</v>
      </c>
      <c r="BB90" s="1324" t="s">
        <v>2115</v>
      </c>
      <c r="BC90" s="1324" t="s">
        <v>2116</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2196</v>
      </c>
      <c r="Q92" s="1389" t="str">
        <f>IFERROR(VLOOKUP('別紙様式2-2（４・５月分）'!AR71,【参考】数式用!$AT$5:$AV$22,3,FALSE),"")</f>
        <v/>
      </c>
      <c r="R92" s="1391" t="s">
        <v>2207</v>
      </c>
      <c r="S92" s="1397" t="str">
        <f>IFERROR(VLOOKUP(K90,【参考】数式用!$A$5:$AB$27,MATCH(Q92,【参考】数式用!$B$4:$AB$4,0)+1,0),"")</f>
        <v/>
      </c>
      <c r="T92" s="1462" t="s">
        <v>231</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2189</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2113</v>
      </c>
      <c r="BA94" s="1324" t="s">
        <v>2114</v>
      </c>
      <c r="BB94" s="1324" t="s">
        <v>2115</v>
      </c>
      <c r="BC94" s="1324" t="s">
        <v>2116</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2196</v>
      </c>
      <c r="Q96" s="1389" t="str">
        <f>IFERROR(VLOOKUP('別紙様式2-2（４・５月分）'!AR74,【参考】数式用!$AT$5:$AV$22,3,FALSE),"")</f>
        <v/>
      </c>
      <c r="R96" s="1391" t="s">
        <v>2207</v>
      </c>
      <c r="S96" s="1399" t="str">
        <f>IFERROR(VLOOKUP(K94,【参考】数式用!$A$5:$AB$27,MATCH(Q96,【参考】数式用!$B$4:$AB$4,0)+1,0),"")</f>
        <v/>
      </c>
      <c r="T96" s="1462" t="s">
        <v>231</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2189</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2113</v>
      </c>
      <c r="BA98" s="1324" t="s">
        <v>2114</v>
      </c>
      <c r="BB98" s="1324" t="s">
        <v>2115</v>
      </c>
      <c r="BC98" s="1324" t="s">
        <v>2116</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2196</v>
      </c>
      <c r="Q100" s="1389" t="str">
        <f>IFERROR(VLOOKUP('別紙様式2-2（４・５月分）'!AR77,【参考】数式用!$AT$5:$AV$22,3,FALSE),"")</f>
        <v/>
      </c>
      <c r="R100" s="1391" t="s">
        <v>2207</v>
      </c>
      <c r="S100" s="1397" t="str">
        <f>IFERROR(VLOOKUP(K98,【参考】数式用!$A$5:$AB$27,MATCH(Q100,【参考】数式用!$B$4:$AB$4,0)+1,0),"")</f>
        <v/>
      </c>
      <c r="T100" s="1462" t="s">
        <v>231</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2189</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2113</v>
      </c>
      <c r="BA102" s="1324" t="s">
        <v>2114</v>
      </c>
      <c r="BB102" s="1324" t="s">
        <v>2115</v>
      </c>
      <c r="BC102" s="1324" t="s">
        <v>2116</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2196</v>
      </c>
      <c r="Q104" s="1389" t="str">
        <f>IFERROR(VLOOKUP('別紙様式2-2（４・５月分）'!AR80,【参考】数式用!$AT$5:$AV$22,3,FALSE),"")</f>
        <v/>
      </c>
      <c r="R104" s="1391" t="s">
        <v>2207</v>
      </c>
      <c r="S104" s="1397" t="str">
        <f>IFERROR(VLOOKUP(K102,【参考】数式用!$A$5:$AB$27,MATCH(Q104,【参考】数式用!$B$4:$AB$4,0)+1,0),"")</f>
        <v/>
      </c>
      <c r="T104" s="1462" t="s">
        <v>231</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2189</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2113</v>
      </c>
      <c r="BA106" s="1324" t="s">
        <v>2114</v>
      </c>
      <c r="BB106" s="1324" t="s">
        <v>2115</v>
      </c>
      <c r="BC106" s="1324" t="s">
        <v>2116</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2196</v>
      </c>
      <c r="Q108" s="1389" t="str">
        <f>IFERROR(VLOOKUP('別紙様式2-2（４・５月分）'!AR83,【参考】数式用!$AT$5:$AV$22,3,FALSE),"")</f>
        <v/>
      </c>
      <c r="R108" s="1391" t="s">
        <v>2207</v>
      </c>
      <c r="S108" s="1399" t="str">
        <f>IFERROR(VLOOKUP(K106,【参考】数式用!$A$5:$AB$27,MATCH(Q108,【参考】数式用!$B$4:$AB$4,0)+1,0),"")</f>
        <v/>
      </c>
      <c r="T108" s="1462" t="s">
        <v>231</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2189</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2113</v>
      </c>
      <c r="BA110" s="1324" t="s">
        <v>2114</v>
      </c>
      <c r="BB110" s="1324" t="s">
        <v>2115</v>
      </c>
      <c r="BC110" s="1324" t="s">
        <v>2116</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2196</v>
      </c>
      <c r="Q112" s="1389" t="str">
        <f>IFERROR(VLOOKUP('別紙様式2-2（４・５月分）'!AR86,【参考】数式用!$AT$5:$AV$22,3,FALSE),"")</f>
        <v/>
      </c>
      <c r="R112" s="1391" t="s">
        <v>2207</v>
      </c>
      <c r="S112" s="1397" t="str">
        <f>IFERROR(VLOOKUP(K110,【参考】数式用!$A$5:$AB$27,MATCH(Q112,【参考】数式用!$B$4:$AB$4,0)+1,0),"")</f>
        <v/>
      </c>
      <c r="T112" s="1462" t="s">
        <v>231</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2189</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2113</v>
      </c>
      <c r="BA114" s="1324" t="s">
        <v>2114</v>
      </c>
      <c r="BB114" s="1324" t="s">
        <v>2115</v>
      </c>
      <c r="BC114" s="1324" t="s">
        <v>2116</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2196</v>
      </c>
      <c r="Q116" s="1389" t="str">
        <f>IFERROR(VLOOKUP('別紙様式2-2（４・５月分）'!AR89,【参考】数式用!$AT$5:$AV$22,3,FALSE),"")</f>
        <v/>
      </c>
      <c r="R116" s="1391" t="s">
        <v>2207</v>
      </c>
      <c r="S116" s="1399" t="str">
        <f>IFERROR(VLOOKUP(K114,【参考】数式用!$A$5:$AB$27,MATCH(Q116,【参考】数式用!$B$4:$AB$4,0)+1,0),"")</f>
        <v/>
      </c>
      <c r="T116" s="1462" t="s">
        <v>231</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2189</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2113</v>
      </c>
      <c r="BA118" s="1324" t="s">
        <v>2114</v>
      </c>
      <c r="BB118" s="1324" t="s">
        <v>2115</v>
      </c>
      <c r="BC118" s="1324" t="s">
        <v>2116</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2196</v>
      </c>
      <c r="Q120" s="1389" t="str">
        <f>IFERROR(VLOOKUP('別紙様式2-2（４・５月分）'!AR92,【参考】数式用!$AT$5:$AV$22,3,FALSE),"")</f>
        <v/>
      </c>
      <c r="R120" s="1391" t="s">
        <v>2207</v>
      </c>
      <c r="S120" s="1397" t="str">
        <f>IFERROR(VLOOKUP(K118,【参考】数式用!$A$5:$AB$27,MATCH(Q120,【参考】数式用!$B$4:$AB$4,0)+1,0),"")</f>
        <v/>
      </c>
      <c r="T120" s="1462" t="s">
        <v>231</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2189</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2113</v>
      </c>
      <c r="BA122" s="1324" t="s">
        <v>2114</v>
      </c>
      <c r="BB122" s="1324" t="s">
        <v>2115</v>
      </c>
      <c r="BC122" s="1324" t="s">
        <v>2116</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2196</v>
      </c>
      <c r="Q124" s="1389" t="str">
        <f>IFERROR(VLOOKUP('別紙様式2-2（４・５月分）'!AR95,【参考】数式用!$AT$5:$AV$22,3,FALSE),"")</f>
        <v/>
      </c>
      <c r="R124" s="1391" t="s">
        <v>2207</v>
      </c>
      <c r="S124" s="1399" t="str">
        <f>IFERROR(VLOOKUP(K122,【参考】数式用!$A$5:$AB$27,MATCH(Q124,【参考】数式用!$B$4:$AB$4,0)+1,0),"")</f>
        <v/>
      </c>
      <c r="T124" s="1462" t="s">
        <v>231</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2189</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2113</v>
      </c>
      <c r="BA126" s="1324" t="s">
        <v>2114</v>
      </c>
      <c r="BB126" s="1324" t="s">
        <v>2115</v>
      </c>
      <c r="BC126" s="1324" t="s">
        <v>2116</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2196</v>
      </c>
      <c r="Q128" s="1389" t="str">
        <f>IFERROR(VLOOKUP('別紙様式2-2（４・５月分）'!AR98,【参考】数式用!$AT$5:$AV$22,3,FALSE),"")</f>
        <v/>
      </c>
      <c r="R128" s="1391" t="s">
        <v>2207</v>
      </c>
      <c r="S128" s="1397" t="str">
        <f>IFERROR(VLOOKUP(K126,【参考】数式用!$A$5:$AB$27,MATCH(Q128,【参考】数式用!$B$4:$AB$4,0)+1,0),"")</f>
        <v/>
      </c>
      <c r="T128" s="1462" t="s">
        <v>231</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2189</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2113</v>
      </c>
      <c r="BA130" s="1324" t="s">
        <v>2114</v>
      </c>
      <c r="BB130" s="1324" t="s">
        <v>2115</v>
      </c>
      <c r="BC130" s="1324" t="s">
        <v>2116</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2196</v>
      </c>
      <c r="Q132" s="1389" t="str">
        <f>IFERROR(VLOOKUP('別紙様式2-2（４・５月分）'!AR101,【参考】数式用!$AT$5:$AV$22,3,FALSE),"")</f>
        <v/>
      </c>
      <c r="R132" s="1391" t="s">
        <v>2207</v>
      </c>
      <c r="S132" s="1399" t="str">
        <f>IFERROR(VLOOKUP(K130,【参考】数式用!$A$5:$AB$27,MATCH(Q132,【参考】数式用!$B$4:$AB$4,0)+1,0),"")</f>
        <v/>
      </c>
      <c r="T132" s="1462" t="s">
        <v>231</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2189</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2113</v>
      </c>
      <c r="BA134" s="1324" t="s">
        <v>2114</v>
      </c>
      <c r="BB134" s="1324" t="s">
        <v>2115</v>
      </c>
      <c r="BC134" s="1324" t="s">
        <v>2116</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2196</v>
      </c>
      <c r="Q136" s="1389" t="str">
        <f>IFERROR(VLOOKUP('別紙様式2-2（４・５月分）'!AR104,【参考】数式用!$AT$5:$AV$22,3,FALSE),"")</f>
        <v/>
      </c>
      <c r="R136" s="1391" t="s">
        <v>2207</v>
      </c>
      <c r="S136" s="1397" t="str">
        <f>IFERROR(VLOOKUP(K134,【参考】数式用!$A$5:$AB$27,MATCH(Q136,【参考】数式用!$B$4:$AB$4,0)+1,0),"")</f>
        <v/>
      </c>
      <c r="T136" s="1462" t="s">
        <v>231</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2189</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2113</v>
      </c>
      <c r="BA138" s="1324" t="s">
        <v>2114</v>
      </c>
      <c r="BB138" s="1324" t="s">
        <v>2115</v>
      </c>
      <c r="BC138" s="1324" t="s">
        <v>2116</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2196</v>
      </c>
      <c r="Q140" s="1389" t="str">
        <f>IFERROR(VLOOKUP('別紙様式2-2（４・５月分）'!AR107,【参考】数式用!$AT$5:$AV$22,3,FALSE),"")</f>
        <v/>
      </c>
      <c r="R140" s="1391" t="s">
        <v>2207</v>
      </c>
      <c r="S140" s="1399" t="str">
        <f>IFERROR(VLOOKUP(K138,【参考】数式用!$A$5:$AB$27,MATCH(Q140,【参考】数式用!$B$4:$AB$4,0)+1,0),"")</f>
        <v/>
      </c>
      <c r="T140" s="1462" t="s">
        <v>231</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2189</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2113</v>
      </c>
      <c r="BA142" s="1324" t="s">
        <v>2114</v>
      </c>
      <c r="BB142" s="1324" t="s">
        <v>2115</v>
      </c>
      <c r="BC142" s="1324" t="s">
        <v>2116</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2196</v>
      </c>
      <c r="Q144" s="1389" t="str">
        <f>IFERROR(VLOOKUP('別紙様式2-2（４・５月分）'!AR110,【参考】数式用!$AT$5:$AV$22,3,FALSE),"")</f>
        <v/>
      </c>
      <c r="R144" s="1391" t="s">
        <v>2207</v>
      </c>
      <c r="S144" s="1397" t="str">
        <f>IFERROR(VLOOKUP(K142,【参考】数式用!$A$5:$AB$27,MATCH(Q144,【参考】数式用!$B$4:$AB$4,0)+1,0),"")</f>
        <v/>
      </c>
      <c r="T144" s="1462" t="s">
        <v>231</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2189</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2113</v>
      </c>
      <c r="BA146" s="1324" t="s">
        <v>2114</v>
      </c>
      <c r="BB146" s="1324" t="s">
        <v>2115</v>
      </c>
      <c r="BC146" s="1324" t="s">
        <v>2116</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2196</v>
      </c>
      <c r="Q148" s="1389" t="str">
        <f>IFERROR(VLOOKUP('別紙様式2-2（４・５月分）'!AR113,【参考】数式用!$AT$5:$AV$22,3,FALSE),"")</f>
        <v/>
      </c>
      <c r="R148" s="1391" t="s">
        <v>2207</v>
      </c>
      <c r="S148" s="1399" t="str">
        <f>IFERROR(VLOOKUP(K146,【参考】数式用!$A$5:$AB$27,MATCH(Q148,【参考】数式用!$B$4:$AB$4,0)+1,0),"")</f>
        <v/>
      </c>
      <c r="T148" s="1462" t="s">
        <v>231</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2189</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2113</v>
      </c>
      <c r="BA150" s="1324" t="s">
        <v>2114</v>
      </c>
      <c r="BB150" s="1324" t="s">
        <v>2115</v>
      </c>
      <c r="BC150" s="1324" t="s">
        <v>2116</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2196</v>
      </c>
      <c r="Q152" s="1389" t="str">
        <f>IFERROR(VLOOKUP('別紙様式2-2（４・５月分）'!AR116,【参考】数式用!$AT$5:$AV$22,3,FALSE),"")</f>
        <v/>
      </c>
      <c r="R152" s="1391" t="s">
        <v>2207</v>
      </c>
      <c r="S152" s="1397" t="str">
        <f>IFERROR(VLOOKUP(K150,【参考】数式用!$A$5:$AB$27,MATCH(Q152,【参考】数式用!$B$4:$AB$4,0)+1,0),"")</f>
        <v/>
      </c>
      <c r="T152" s="1462" t="s">
        <v>231</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2189</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2113</v>
      </c>
      <c r="BA154" s="1324" t="s">
        <v>2114</v>
      </c>
      <c r="BB154" s="1324" t="s">
        <v>2115</v>
      </c>
      <c r="BC154" s="1324" t="s">
        <v>2116</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2196</v>
      </c>
      <c r="Q156" s="1389" t="str">
        <f>IFERROR(VLOOKUP('別紙様式2-2（４・５月分）'!AR119,【参考】数式用!$AT$5:$AV$22,3,FALSE),"")</f>
        <v/>
      </c>
      <c r="R156" s="1391" t="s">
        <v>2207</v>
      </c>
      <c r="S156" s="1399" t="str">
        <f>IFERROR(VLOOKUP(K154,【参考】数式用!$A$5:$AB$27,MATCH(Q156,【参考】数式用!$B$4:$AB$4,0)+1,0),"")</f>
        <v/>
      </c>
      <c r="T156" s="1462" t="s">
        <v>231</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2189</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2113</v>
      </c>
      <c r="BA158" s="1324" t="s">
        <v>2114</v>
      </c>
      <c r="BB158" s="1324" t="s">
        <v>2115</v>
      </c>
      <c r="BC158" s="1324" t="s">
        <v>2116</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2196</v>
      </c>
      <c r="Q160" s="1389" t="str">
        <f>IFERROR(VLOOKUP('別紙様式2-2（４・５月分）'!AR122,【参考】数式用!$AT$5:$AV$22,3,FALSE),"")</f>
        <v/>
      </c>
      <c r="R160" s="1391" t="s">
        <v>2207</v>
      </c>
      <c r="S160" s="1397" t="str">
        <f>IFERROR(VLOOKUP(K158,【参考】数式用!$A$5:$AB$27,MATCH(Q160,【参考】数式用!$B$4:$AB$4,0)+1,0),"")</f>
        <v/>
      </c>
      <c r="T160" s="1462" t="s">
        <v>231</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2189</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2113</v>
      </c>
      <c r="BA162" s="1324" t="s">
        <v>2114</v>
      </c>
      <c r="BB162" s="1324" t="s">
        <v>2115</v>
      </c>
      <c r="BC162" s="1324" t="s">
        <v>2116</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2196</v>
      </c>
      <c r="Q164" s="1389" t="str">
        <f>IFERROR(VLOOKUP('別紙様式2-2（４・５月分）'!AR125,【参考】数式用!$AT$5:$AV$22,3,FALSE),"")</f>
        <v/>
      </c>
      <c r="R164" s="1391" t="s">
        <v>2207</v>
      </c>
      <c r="S164" s="1399" t="str">
        <f>IFERROR(VLOOKUP(K162,【参考】数式用!$A$5:$AB$27,MATCH(Q164,【参考】数式用!$B$4:$AB$4,0)+1,0),"")</f>
        <v/>
      </c>
      <c r="T164" s="1462" t="s">
        <v>231</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2189</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2113</v>
      </c>
      <c r="BA166" s="1324" t="s">
        <v>2114</v>
      </c>
      <c r="BB166" s="1324" t="s">
        <v>2115</v>
      </c>
      <c r="BC166" s="1324" t="s">
        <v>2116</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2196</v>
      </c>
      <c r="Q168" s="1389" t="str">
        <f>IFERROR(VLOOKUP('別紙様式2-2（４・５月分）'!AR128,【参考】数式用!$AT$5:$AV$22,3,FALSE),"")</f>
        <v/>
      </c>
      <c r="R168" s="1391" t="s">
        <v>2207</v>
      </c>
      <c r="S168" s="1397" t="str">
        <f>IFERROR(VLOOKUP(K166,【参考】数式用!$A$5:$AB$27,MATCH(Q168,【参考】数式用!$B$4:$AB$4,0)+1,0),"")</f>
        <v/>
      </c>
      <c r="T168" s="1462" t="s">
        <v>231</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2189</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2113</v>
      </c>
      <c r="BA170" s="1324" t="s">
        <v>2114</v>
      </c>
      <c r="BB170" s="1324" t="s">
        <v>2115</v>
      </c>
      <c r="BC170" s="1324" t="s">
        <v>2116</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2196</v>
      </c>
      <c r="Q172" s="1389" t="str">
        <f>IFERROR(VLOOKUP('別紙様式2-2（４・５月分）'!AR131,【参考】数式用!$AT$5:$AV$22,3,FALSE),"")</f>
        <v/>
      </c>
      <c r="R172" s="1391" t="s">
        <v>2207</v>
      </c>
      <c r="S172" s="1397" t="str">
        <f>IFERROR(VLOOKUP(K170,【参考】数式用!$A$5:$AB$27,MATCH(Q172,【参考】数式用!$B$4:$AB$4,0)+1,0),"")</f>
        <v/>
      </c>
      <c r="T172" s="1462" t="s">
        <v>231</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2189</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2113</v>
      </c>
      <c r="BA174" s="1324" t="s">
        <v>2114</v>
      </c>
      <c r="BB174" s="1324" t="s">
        <v>2115</v>
      </c>
      <c r="BC174" s="1324" t="s">
        <v>2116</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2196</v>
      </c>
      <c r="Q176" s="1389" t="str">
        <f>IFERROR(VLOOKUP('別紙様式2-2（４・５月分）'!AR134,【参考】数式用!$AT$5:$AV$22,3,FALSE),"")</f>
        <v/>
      </c>
      <c r="R176" s="1391" t="s">
        <v>2207</v>
      </c>
      <c r="S176" s="1399" t="str">
        <f>IFERROR(VLOOKUP(K174,【参考】数式用!$A$5:$AB$27,MATCH(Q176,【参考】数式用!$B$4:$AB$4,0)+1,0),"")</f>
        <v/>
      </c>
      <c r="T176" s="1462" t="s">
        <v>231</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2189</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2113</v>
      </c>
      <c r="BA178" s="1324" t="s">
        <v>2114</v>
      </c>
      <c r="BB178" s="1324" t="s">
        <v>2115</v>
      </c>
      <c r="BC178" s="1324" t="s">
        <v>2116</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2196</v>
      </c>
      <c r="Q180" s="1389" t="str">
        <f>IFERROR(VLOOKUP('別紙様式2-2（４・５月分）'!AR137,【参考】数式用!$AT$5:$AV$22,3,FALSE),"")</f>
        <v/>
      </c>
      <c r="R180" s="1391" t="s">
        <v>2207</v>
      </c>
      <c r="S180" s="1397" t="str">
        <f>IFERROR(VLOOKUP(K178,【参考】数式用!$A$5:$AB$27,MATCH(Q180,【参考】数式用!$B$4:$AB$4,0)+1,0),"")</f>
        <v/>
      </c>
      <c r="T180" s="1462" t="s">
        <v>231</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2189</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2113</v>
      </c>
      <c r="BA182" s="1324" t="s">
        <v>2114</v>
      </c>
      <c r="BB182" s="1324" t="s">
        <v>2115</v>
      </c>
      <c r="BC182" s="1324" t="s">
        <v>2116</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2196</v>
      </c>
      <c r="Q184" s="1389" t="str">
        <f>IFERROR(VLOOKUP('別紙様式2-2（４・５月分）'!AR140,【参考】数式用!$AT$5:$AV$22,3,FALSE),"")</f>
        <v/>
      </c>
      <c r="R184" s="1391" t="s">
        <v>2207</v>
      </c>
      <c r="S184" s="1399" t="str">
        <f>IFERROR(VLOOKUP(K182,【参考】数式用!$A$5:$AB$27,MATCH(Q184,【参考】数式用!$B$4:$AB$4,0)+1,0),"")</f>
        <v/>
      </c>
      <c r="T184" s="1462" t="s">
        <v>231</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2189</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2113</v>
      </c>
      <c r="BA186" s="1324" t="s">
        <v>2114</v>
      </c>
      <c r="BB186" s="1324" t="s">
        <v>2115</v>
      </c>
      <c r="BC186" s="1324" t="s">
        <v>2116</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2196</v>
      </c>
      <c r="Q188" s="1389" t="str">
        <f>IFERROR(VLOOKUP('別紙様式2-2（４・５月分）'!AR143,【参考】数式用!$AT$5:$AV$22,3,FALSE),"")</f>
        <v/>
      </c>
      <c r="R188" s="1391" t="s">
        <v>2207</v>
      </c>
      <c r="S188" s="1397" t="str">
        <f>IFERROR(VLOOKUP(K186,【参考】数式用!$A$5:$AB$27,MATCH(Q188,【参考】数式用!$B$4:$AB$4,0)+1,0),"")</f>
        <v/>
      </c>
      <c r="T188" s="1462" t="s">
        <v>231</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2189</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2113</v>
      </c>
      <c r="BA190" s="1324" t="s">
        <v>2114</v>
      </c>
      <c r="BB190" s="1324" t="s">
        <v>2115</v>
      </c>
      <c r="BC190" s="1324" t="s">
        <v>2116</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2196</v>
      </c>
      <c r="Q192" s="1389" t="str">
        <f>IFERROR(VLOOKUP('別紙様式2-2（４・５月分）'!AR146,【参考】数式用!$AT$5:$AV$22,3,FALSE),"")</f>
        <v/>
      </c>
      <c r="R192" s="1391" t="s">
        <v>2207</v>
      </c>
      <c r="S192" s="1399" t="str">
        <f>IFERROR(VLOOKUP(K190,【参考】数式用!$A$5:$AB$27,MATCH(Q192,【参考】数式用!$B$4:$AB$4,0)+1,0),"")</f>
        <v/>
      </c>
      <c r="T192" s="1462" t="s">
        <v>231</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2189</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2113</v>
      </c>
      <c r="BA194" s="1324" t="s">
        <v>2114</v>
      </c>
      <c r="BB194" s="1324" t="s">
        <v>2115</v>
      </c>
      <c r="BC194" s="1324" t="s">
        <v>2116</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2196</v>
      </c>
      <c r="Q196" s="1389" t="str">
        <f>IFERROR(VLOOKUP('別紙様式2-2（４・５月分）'!AR149,【参考】数式用!$AT$5:$AV$22,3,FALSE),"")</f>
        <v/>
      </c>
      <c r="R196" s="1391" t="s">
        <v>2207</v>
      </c>
      <c r="S196" s="1397" t="str">
        <f>IFERROR(VLOOKUP(K194,【参考】数式用!$A$5:$AB$27,MATCH(Q196,【参考】数式用!$B$4:$AB$4,0)+1,0),"")</f>
        <v/>
      </c>
      <c r="T196" s="1462" t="s">
        <v>231</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2189</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2113</v>
      </c>
      <c r="BA198" s="1324" t="s">
        <v>2114</v>
      </c>
      <c r="BB198" s="1324" t="s">
        <v>2115</v>
      </c>
      <c r="BC198" s="1324" t="s">
        <v>2116</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2196</v>
      </c>
      <c r="Q200" s="1389" t="str">
        <f>IFERROR(VLOOKUP('別紙様式2-2（４・５月分）'!AR152,【参考】数式用!$AT$5:$AV$22,3,FALSE),"")</f>
        <v/>
      </c>
      <c r="R200" s="1391" t="s">
        <v>2207</v>
      </c>
      <c r="S200" s="1399" t="str">
        <f>IFERROR(VLOOKUP(K198,【参考】数式用!$A$5:$AB$27,MATCH(Q200,【参考】数式用!$B$4:$AB$4,0)+1,0),"")</f>
        <v/>
      </c>
      <c r="T200" s="1462" t="s">
        <v>231</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2189</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2113</v>
      </c>
      <c r="BA202" s="1324" t="s">
        <v>2114</v>
      </c>
      <c r="BB202" s="1324" t="s">
        <v>2115</v>
      </c>
      <c r="BC202" s="1324" t="s">
        <v>2116</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2196</v>
      </c>
      <c r="Q204" s="1389" t="str">
        <f>IFERROR(VLOOKUP('別紙様式2-2（４・５月分）'!AR155,【参考】数式用!$AT$5:$AV$22,3,FALSE),"")</f>
        <v/>
      </c>
      <c r="R204" s="1391" t="s">
        <v>2207</v>
      </c>
      <c r="S204" s="1397" t="str">
        <f>IFERROR(VLOOKUP(K202,【参考】数式用!$A$5:$AB$27,MATCH(Q204,【参考】数式用!$B$4:$AB$4,0)+1,0),"")</f>
        <v/>
      </c>
      <c r="T204" s="1462" t="s">
        <v>231</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2189</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2113</v>
      </c>
      <c r="BA206" s="1324" t="s">
        <v>2114</v>
      </c>
      <c r="BB206" s="1324" t="s">
        <v>2115</v>
      </c>
      <c r="BC206" s="1324" t="s">
        <v>2116</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2196</v>
      </c>
      <c r="Q208" s="1389" t="str">
        <f>IFERROR(VLOOKUP('別紙様式2-2（４・５月分）'!AR158,【参考】数式用!$AT$5:$AV$22,3,FALSE),"")</f>
        <v/>
      </c>
      <c r="R208" s="1391" t="s">
        <v>2207</v>
      </c>
      <c r="S208" s="1399" t="str">
        <f>IFERROR(VLOOKUP(K206,【参考】数式用!$A$5:$AB$27,MATCH(Q208,【参考】数式用!$B$4:$AB$4,0)+1,0),"")</f>
        <v/>
      </c>
      <c r="T208" s="1462" t="s">
        <v>231</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2189</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2113</v>
      </c>
      <c r="BA210" s="1324" t="s">
        <v>2114</v>
      </c>
      <c r="BB210" s="1324" t="s">
        <v>2115</v>
      </c>
      <c r="BC210" s="1324" t="s">
        <v>2116</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2196</v>
      </c>
      <c r="Q212" s="1389" t="str">
        <f>IFERROR(VLOOKUP('別紙様式2-2（４・５月分）'!AR161,【参考】数式用!$AT$5:$AV$22,3,FALSE),"")</f>
        <v/>
      </c>
      <c r="R212" s="1391" t="s">
        <v>2207</v>
      </c>
      <c r="S212" s="1397" t="str">
        <f>IFERROR(VLOOKUP(K210,【参考】数式用!$A$5:$AB$27,MATCH(Q212,【参考】数式用!$B$4:$AB$4,0)+1,0),"")</f>
        <v/>
      </c>
      <c r="T212" s="1462" t="s">
        <v>231</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2189</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2113</v>
      </c>
      <c r="BA214" s="1324" t="s">
        <v>2114</v>
      </c>
      <c r="BB214" s="1324" t="s">
        <v>2115</v>
      </c>
      <c r="BC214" s="1324" t="s">
        <v>2116</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2196</v>
      </c>
      <c r="Q216" s="1389" t="str">
        <f>IFERROR(VLOOKUP('別紙様式2-2（４・５月分）'!AR164,【参考】数式用!$AT$5:$AV$22,3,FALSE),"")</f>
        <v/>
      </c>
      <c r="R216" s="1391" t="s">
        <v>2207</v>
      </c>
      <c r="S216" s="1399" t="str">
        <f>IFERROR(VLOOKUP(K214,【参考】数式用!$A$5:$AB$27,MATCH(Q216,【参考】数式用!$B$4:$AB$4,0)+1,0),"")</f>
        <v/>
      </c>
      <c r="T216" s="1462" t="s">
        <v>231</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2189</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2113</v>
      </c>
      <c r="BA218" s="1324" t="s">
        <v>2114</v>
      </c>
      <c r="BB218" s="1324" t="s">
        <v>2115</v>
      </c>
      <c r="BC218" s="1324" t="s">
        <v>2116</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2196</v>
      </c>
      <c r="Q220" s="1389" t="str">
        <f>IFERROR(VLOOKUP('別紙様式2-2（４・５月分）'!AR167,【参考】数式用!$AT$5:$AV$22,3,FALSE),"")</f>
        <v/>
      </c>
      <c r="R220" s="1391" t="s">
        <v>2207</v>
      </c>
      <c r="S220" s="1397" t="str">
        <f>IFERROR(VLOOKUP(K218,【参考】数式用!$A$5:$AB$27,MATCH(Q220,【参考】数式用!$B$4:$AB$4,0)+1,0),"")</f>
        <v/>
      </c>
      <c r="T220" s="1462" t="s">
        <v>231</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2189</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2113</v>
      </c>
      <c r="BA222" s="1324" t="s">
        <v>2114</v>
      </c>
      <c r="BB222" s="1324" t="s">
        <v>2115</v>
      </c>
      <c r="BC222" s="1324" t="s">
        <v>2116</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2196</v>
      </c>
      <c r="Q224" s="1389" t="str">
        <f>IFERROR(VLOOKUP('別紙様式2-2（４・５月分）'!AR170,【参考】数式用!$AT$5:$AV$22,3,FALSE),"")</f>
        <v/>
      </c>
      <c r="R224" s="1391" t="s">
        <v>2207</v>
      </c>
      <c r="S224" s="1399" t="str">
        <f>IFERROR(VLOOKUP(K222,【参考】数式用!$A$5:$AB$27,MATCH(Q224,【参考】数式用!$B$4:$AB$4,0)+1,0),"")</f>
        <v/>
      </c>
      <c r="T224" s="1462" t="s">
        <v>231</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2189</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2113</v>
      </c>
      <c r="BA226" s="1324" t="s">
        <v>2114</v>
      </c>
      <c r="BB226" s="1324" t="s">
        <v>2115</v>
      </c>
      <c r="BC226" s="1324" t="s">
        <v>2116</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2196</v>
      </c>
      <c r="Q228" s="1389" t="str">
        <f>IFERROR(VLOOKUP('別紙様式2-2（４・５月分）'!AR173,【参考】数式用!$AT$5:$AV$22,3,FALSE),"")</f>
        <v/>
      </c>
      <c r="R228" s="1391" t="s">
        <v>2207</v>
      </c>
      <c r="S228" s="1397" t="str">
        <f>IFERROR(VLOOKUP(K226,【参考】数式用!$A$5:$AB$27,MATCH(Q228,【参考】数式用!$B$4:$AB$4,0)+1,0),"")</f>
        <v/>
      </c>
      <c r="T228" s="1462" t="s">
        <v>231</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2189</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2113</v>
      </c>
      <c r="BA230" s="1324" t="s">
        <v>2114</v>
      </c>
      <c r="BB230" s="1324" t="s">
        <v>2115</v>
      </c>
      <c r="BC230" s="1324" t="s">
        <v>2116</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2196</v>
      </c>
      <c r="Q232" s="1389" t="str">
        <f>IFERROR(VLOOKUP('別紙様式2-2（４・５月分）'!AR176,【参考】数式用!$AT$5:$AV$22,3,FALSE),"")</f>
        <v/>
      </c>
      <c r="R232" s="1391" t="s">
        <v>2207</v>
      </c>
      <c r="S232" s="1399" t="str">
        <f>IFERROR(VLOOKUP(K230,【参考】数式用!$A$5:$AB$27,MATCH(Q232,【参考】数式用!$B$4:$AB$4,0)+1,0),"")</f>
        <v/>
      </c>
      <c r="T232" s="1462" t="s">
        <v>231</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2189</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2113</v>
      </c>
      <c r="BA234" s="1324" t="s">
        <v>2114</v>
      </c>
      <c r="BB234" s="1324" t="s">
        <v>2115</v>
      </c>
      <c r="BC234" s="1324" t="s">
        <v>2116</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2196</v>
      </c>
      <c r="Q236" s="1389" t="str">
        <f>IFERROR(VLOOKUP('別紙様式2-2（４・５月分）'!AR179,【参考】数式用!$AT$5:$AV$22,3,FALSE),"")</f>
        <v/>
      </c>
      <c r="R236" s="1391" t="s">
        <v>2207</v>
      </c>
      <c r="S236" s="1397" t="str">
        <f>IFERROR(VLOOKUP(K234,【参考】数式用!$A$5:$AB$27,MATCH(Q236,【参考】数式用!$B$4:$AB$4,0)+1,0),"")</f>
        <v/>
      </c>
      <c r="T236" s="1462" t="s">
        <v>231</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2189</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2113</v>
      </c>
      <c r="BA238" s="1324" t="s">
        <v>2114</v>
      </c>
      <c r="BB238" s="1324" t="s">
        <v>2115</v>
      </c>
      <c r="BC238" s="1324" t="s">
        <v>2116</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2196</v>
      </c>
      <c r="Q240" s="1389" t="str">
        <f>IFERROR(VLOOKUP('別紙様式2-2（４・５月分）'!AR182,【参考】数式用!$AT$5:$AV$22,3,FALSE),"")</f>
        <v/>
      </c>
      <c r="R240" s="1391" t="s">
        <v>2207</v>
      </c>
      <c r="S240" s="1397" t="str">
        <f>IFERROR(VLOOKUP(K238,【参考】数式用!$A$5:$AB$27,MATCH(Q240,【参考】数式用!$B$4:$AB$4,0)+1,0),"")</f>
        <v/>
      </c>
      <c r="T240" s="1462" t="s">
        <v>231</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2189</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2113</v>
      </c>
      <c r="BA242" s="1324" t="s">
        <v>2114</v>
      </c>
      <c r="BB242" s="1324" t="s">
        <v>2115</v>
      </c>
      <c r="BC242" s="1324" t="s">
        <v>2116</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2196</v>
      </c>
      <c r="Q244" s="1389" t="str">
        <f>IFERROR(VLOOKUP('別紙様式2-2（４・５月分）'!AR185,【参考】数式用!$AT$5:$AV$22,3,FALSE),"")</f>
        <v/>
      </c>
      <c r="R244" s="1391" t="s">
        <v>2207</v>
      </c>
      <c r="S244" s="1399" t="str">
        <f>IFERROR(VLOOKUP(K242,【参考】数式用!$A$5:$AB$27,MATCH(Q244,【参考】数式用!$B$4:$AB$4,0)+1,0),"")</f>
        <v/>
      </c>
      <c r="T244" s="1462" t="s">
        <v>231</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2189</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2113</v>
      </c>
      <c r="BA246" s="1324" t="s">
        <v>2114</v>
      </c>
      <c r="BB246" s="1324" t="s">
        <v>2115</v>
      </c>
      <c r="BC246" s="1324" t="s">
        <v>2116</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2196</v>
      </c>
      <c r="Q248" s="1389" t="str">
        <f>IFERROR(VLOOKUP('別紙様式2-2（４・５月分）'!AR188,【参考】数式用!$AT$5:$AV$22,3,FALSE),"")</f>
        <v/>
      </c>
      <c r="R248" s="1391" t="s">
        <v>2207</v>
      </c>
      <c r="S248" s="1397" t="str">
        <f>IFERROR(VLOOKUP(K246,【参考】数式用!$A$5:$AB$27,MATCH(Q248,【参考】数式用!$B$4:$AB$4,0)+1,0),"")</f>
        <v/>
      </c>
      <c r="T248" s="1462" t="s">
        <v>231</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2189</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2113</v>
      </c>
      <c r="BA250" s="1324" t="s">
        <v>2114</v>
      </c>
      <c r="BB250" s="1324" t="s">
        <v>2115</v>
      </c>
      <c r="BC250" s="1324" t="s">
        <v>2116</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2196</v>
      </c>
      <c r="Q252" s="1389" t="str">
        <f>IFERROR(VLOOKUP('別紙様式2-2（４・５月分）'!AR191,【参考】数式用!$AT$5:$AV$22,3,FALSE),"")</f>
        <v/>
      </c>
      <c r="R252" s="1391" t="s">
        <v>2207</v>
      </c>
      <c r="S252" s="1399" t="str">
        <f>IFERROR(VLOOKUP(K250,【参考】数式用!$A$5:$AB$27,MATCH(Q252,【参考】数式用!$B$4:$AB$4,0)+1,0),"")</f>
        <v/>
      </c>
      <c r="T252" s="1462" t="s">
        <v>231</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2189</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2113</v>
      </c>
      <c r="BA254" s="1324" t="s">
        <v>2114</v>
      </c>
      <c r="BB254" s="1324" t="s">
        <v>2115</v>
      </c>
      <c r="BC254" s="1324" t="s">
        <v>2116</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2196</v>
      </c>
      <c r="Q256" s="1389" t="str">
        <f>IFERROR(VLOOKUP('別紙様式2-2（４・５月分）'!AR194,【参考】数式用!$AT$5:$AV$22,3,FALSE),"")</f>
        <v/>
      </c>
      <c r="R256" s="1391" t="s">
        <v>2207</v>
      </c>
      <c r="S256" s="1397" t="str">
        <f>IFERROR(VLOOKUP(K254,【参考】数式用!$A$5:$AB$27,MATCH(Q256,【参考】数式用!$B$4:$AB$4,0)+1,0),"")</f>
        <v/>
      </c>
      <c r="T256" s="1462" t="s">
        <v>231</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2189</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2113</v>
      </c>
      <c r="BA258" s="1324" t="s">
        <v>2114</v>
      </c>
      <c r="BB258" s="1324" t="s">
        <v>2115</v>
      </c>
      <c r="BC258" s="1324" t="s">
        <v>2116</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2196</v>
      </c>
      <c r="Q260" s="1389" t="str">
        <f>IFERROR(VLOOKUP('別紙様式2-2（４・５月分）'!AR197,【参考】数式用!$AT$5:$AV$22,3,FALSE),"")</f>
        <v/>
      </c>
      <c r="R260" s="1391" t="s">
        <v>2207</v>
      </c>
      <c r="S260" s="1399" t="str">
        <f>IFERROR(VLOOKUP(K258,【参考】数式用!$A$5:$AB$27,MATCH(Q260,【参考】数式用!$B$4:$AB$4,0)+1,0),"")</f>
        <v/>
      </c>
      <c r="T260" s="1462" t="s">
        <v>231</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2189</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2113</v>
      </c>
      <c r="BA262" s="1324" t="s">
        <v>2114</v>
      </c>
      <c r="BB262" s="1324" t="s">
        <v>2115</v>
      </c>
      <c r="BC262" s="1324" t="s">
        <v>2116</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2196</v>
      </c>
      <c r="Q264" s="1389" t="str">
        <f>IFERROR(VLOOKUP('別紙様式2-2（４・５月分）'!AR200,【参考】数式用!$AT$5:$AV$22,3,FALSE),"")</f>
        <v/>
      </c>
      <c r="R264" s="1391" t="s">
        <v>2207</v>
      </c>
      <c r="S264" s="1397" t="str">
        <f>IFERROR(VLOOKUP(K262,【参考】数式用!$A$5:$AB$27,MATCH(Q264,【参考】数式用!$B$4:$AB$4,0)+1,0),"")</f>
        <v/>
      </c>
      <c r="T264" s="1462" t="s">
        <v>231</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2189</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2113</v>
      </c>
      <c r="BA266" s="1324" t="s">
        <v>2114</v>
      </c>
      <c r="BB266" s="1324" t="s">
        <v>2115</v>
      </c>
      <c r="BC266" s="1324" t="s">
        <v>2116</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2196</v>
      </c>
      <c r="Q268" s="1389" t="str">
        <f>IFERROR(VLOOKUP('別紙様式2-2（４・５月分）'!AR203,【参考】数式用!$AT$5:$AV$22,3,FALSE),"")</f>
        <v/>
      </c>
      <c r="R268" s="1391" t="s">
        <v>2207</v>
      </c>
      <c r="S268" s="1399" t="str">
        <f>IFERROR(VLOOKUP(K266,【参考】数式用!$A$5:$AB$27,MATCH(Q268,【参考】数式用!$B$4:$AB$4,0)+1,0),"")</f>
        <v/>
      </c>
      <c r="T268" s="1462" t="s">
        <v>231</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2189</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2113</v>
      </c>
      <c r="BA270" s="1324" t="s">
        <v>2114</v>
      </c>
      <c r="BB270" s="1324" t="s">
        <v>2115</v>
      </c>
      <c r="BC270" s="1324" t="s">
        <v>2116</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2196</v>
      </c>
      <c r="Q272" s="1389" t="str">
        <f>IFERROR(VLOOKUP('別紙様式2-2（４・５月分）'!AR206,【参考】数式用!$AT$5:$AV$22,3,FALSE),"")</f>
        <v/>
      </c>
      <c r="R272" s="1391" t="s">
        <v>2207</v>
      </c>
      <c r="S272" s="1397" t="str">
        <f>IFERROR(VLOOKUP(K270,【参考】数式用!$A$5:$AB$27,MATCH(Q272,【参考】数式用!$B$4:$AB$4,0)+1,0),"")</f>
        <v/>
      </c>
      <c r="T272" s="1462" t="s">
        <v>231</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2189</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2113</v>
      </c>
      <c r="BA274" s="1324" t="s">
        <v>2114</v>
      </c>
      <c r="BB274" s="1324" t="s">
        <v>2115</v>
      </c>
      <c r="BC274" s="1324" t="s">
        <v>2116</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2196</v>
      </c>
      <c r="Q276" s="1389" t="str">
        <f>IFERROR(VLOOKUP('別紙様式2-2（４・５月分）'!AR209,【参考】数式用!$AT$5:$AV$22,3,FALSE),"")</f>
        <v/>
      </c>
      <c r="R276" s="1391" t="s">
        <v>2207</v>
      </c>
      <c r="S276" s="1399" t="str">
        <f>IFERROR(VLOOKUP(K274,【参考】数式用!$A$5:$AB$27,MATCH(Q276,【参考】数式用!$B$4:$AB$4,0)+1,0),"")</f>
        <v/>
      </c>
      <c r="T276" s="1462" t="s">
        <v>231</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2189</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2113</v>
      </c>
      <c r="BA278" s="1324" t="s">
        <v>2114</v>
      </c>
      <c r="BB278" s="1324" t="s">
        <v>2115</v>
      </c>
      <c r="BC278" s="1324" t="s">
        <v>2116</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2196</v>
      </c>
      <c r="Q280" s="1389" t="str">
        <f>IFERROR(VLOOKUP('別紙様式2-2（４・５月分）'!AR212,【参考】数式用!$AT$5:$AV$22,3,FALSE),"")</f>
        <v/>
      </c>
      <c r="R280" s="1391" t="s">
        <v>2207</v>
      </c>
      <c r="S280" s="1397" t="str">
        <f>IFERROR(VLOOKUP(K278,【参考】数式用!$A$5:$AB$27,MATCH(Q280,【参考】数式用!$B$4:$AB$4,0)+1,0),"")</f>
        <v/>
      </c>
      <c r="T280" s="1462" t="s">
        <v>231</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2189</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2113</v>
      </c>
      <c r="BA282" s="1324" t="s">
        <v>2114</v>
      </c>
      <c r="BB282" s="1324" t="s">
        <v>2115</v>
      </c>
      <c r="BC282" s="1324" t="s">
        <v>2116</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2196</v>
      </c>
      <c r="Q284" s="1389" t="str">
        <f>IFERROR(VLOOKUP('別紙様式2-2（４・５月分）'!AR215,【参考】数式用!$AT$5:$AV$22,3,FALSE),"")</f>
        <v/>
      </c>
      <c r="R284" s="1391" t="s">
        <v>2207</v>
      </c>
      <c r="S284" s="1399" t="str">
        <f>IFERROR(VLOOKUP(K282,【参考】数式用!$A$5:$AB$27,MATCH(Q284,【参考】数式用!$B$4:$AB$4,0)+1,0),"")</f>
        <v/>
      </c>
      <c r="T284" s="1462" t="s">
        <v>231</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2189</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2113</v>
      </c>
      <c r="BA286" s="1324" t="s">
        <v>2114</v>
      </c>
      <c r="BB286" s="1324" t="s">
        <v>2115</v>
      </c>
      <c r="BC286" s="1324" t="s">
        <v>2116</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2196</v>
      </c>
      <c r="Q288" s="1389" t="str">
        <f>IFERROR(VLOOKUP('別紙様式2-2（４・５月分）'!AR218,【参考】数式用!$AT$5:$AV$22,3,FALSE),"")</f>
        <v/>
      </c>
      <c r="R288" s="1391" t="s">
        <v>2207</v>
      </c>
      <c r="S288" s="1397" t="str">
        <f>IFERROR(VLOOKUP(K286,【参考】数式用!$A$5:$AB$27,MATCH(Q288,【参考】数式用!$B$4:$AB$4,0)+1,0),"")</f>
        <v/>
      </c>
      <c r="T288" s="1462" t="s">
        <v>231</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2189</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2113</v>
      </c>
      <c r="BA290" s="1324" t="s">
        <v>2114</v>
      </c>
      <c r="BB290" s="1324" t="s">
        <v>2115</v>
      </c>
      <c r="BC290" s="1324" t="s">
        <v>2116</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2196</v>
      </c>
      <c r="Q292" s="1389" t="str">
        <f>IFERROR(VLOOKUP('別紙様式2-2（４・５月分）'!AR221,【参考】数式用!$AT$5:$AV$22,3,FALSE),"")</f>
        <v/>
      </c>
      <c r="R292" s="1391" t="s">
        <v>2207</v>
      </c>
      <c r="S292" s="1399" t="str">
        <f>IFERROR(VLOOKUP(K290,【参考】数式用!$A$5:$AB$27,MATCH(Q292,【参考】数式用!$B$4:$AB$4,0)+1,0),"")</f>
        <v/>
      </c>
      <c r="T292" s="1462" t="s">
        <v>231</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2189</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2113</v>
      </c>
      <c r="BA294" s="1324" t="s">
        <v>2114</v>
      </c>
      <c r="BB294" s="1324" t="s">
        <v>2115</v>
      </c>
      <c r="BC294" s="1324" t="s">
        <v>2116</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2196</v>
      </c>
      <c r="Q296" s="1389" t="str">
        <f>IFERROR(VLOOKUP('別紙様式2-2（４・５月分）'!AR224,【参考】数式用!$AT$5:$AV$22,3,FALSE),"")</f>
        <v/>
      </c>
      <c r="R296" s="1391" t="s">
        <v>2207</v>
      </c>
      <c r="S296" s="1397" t="str">
        <f>IFERROR(VLOOKUP(K294,【参考】数式用!$A$5:$AB$27,MATCH(Q296,【参考】数式用!$B$4:$AB$4,0)+1,0),"")</f>
        <v/>
      </c>
      <c r="T296" s="1462" t="s">
        <v>231</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2189</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2113</v>
      </c>
      <c r="BA298" s="1324" t="s">
        <v>2114</v>
      </c>
      <c r="BB298" s="1324" t="s">
        <v>2115</v>
      </c>
      <c r="BC298" s="1324" t="s">
        <v>2116</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2196</v>
      </c>
      <c r="Q300" s="1389" t="str">
        <f>IFERROR(VLOOKUP('別紙様式2-2（４・５月分）'!AR227,【参考】数式用!$AT$5:$AV$22,3,FALSE),"")</f>
        <v/>
      </c>
      <c r="R300" s="1391" t="s">
        <v>2207</v>
      </c>
      <c r="S300" s="1399" t="str">
        <f>IFERROR(VLOOKUP(K298,【参考】数式用!$A$5:$AB$27,MATCH(Q300,【参考】数式用!$B$4:$AB$4,0)+1,0),"")</f>
        <v/>
      </c>
      <c r="T300" s="1462" t="s">
        <v>231</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2189</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2113</v>
      </c>
      <c r="BA302" s="1324" t="s">
        <v>2114</v>
      </c>
      <c r="BB302" s="1324" t="s">
        <v>2115</v>
      </c>
      <c r="BC302" s="1324" t="s">
        <v>2116</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2196</v>
      </c>
      <c r="Q304" s="1389" t="str">
        <f>IFERROR(VLOOKUP('別紙様式2-2（４・５月分）'!AR230,【参考】数式用!$AT$5:$AV$22,3,FALSE),"")</f>
        <v/>
      </c>
      <c r="R304" s="1391" t="s">
        <v>2207</v>
      </c>
      <c r="S304" s="1397" t="str">
        <f>IFERROR(VLOOKUP(K302,【参考】数式用!$A$5:$AB$27,MATCH(Q304,【参考】数式用!$B$4:$AB$4,0)+1,0),"")</f>
        <v/>
      </c>
      <c r="T304" s="1462" t="s">
        <v>231</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2189</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2113</v>
      </c>
      <c r="BA306" s="1324" t="s">
        <v>2114</v>
      </c>
      <c r="BB306" s="1324" t="s">
        <v>2115</v>
      </c>
      <c r="BC306" s="1324" t="s">
        <v>2116</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2196</v>
      </c>
      <c r="Q308" s="1389" t="str">
        <f>IFERROR(VLOOKUP('別紙様式2-2（４・５月分）'!AR233,【参考】数式用!$AT$5:$AV$22,3,FALSE),"")</f>
        <v/>
      </c>
      <c r="R308" s="1391" t="s">
        <v>2207</v>
      </c>
      <c r="S308" s="1397" t="str">
        <f>IFERROR(VLOOKUP(K306,【参考】数式用!$A$5:$AB$27,MATCH(Q308,【参考】数式用!$B$4:$AB$4,0)+1,0),"")</f>
        <v/>
      </c>
      <c r="T308" s="1462" t="s">
        <v>231</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2189</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2113</v>
      </c>
      <c r="BA310" s="1324" t="s">
        <v>2114</v>
      </c>
      <c r="BB310" s="1324" t="s">
        <v>2115</v>
      </c>
      <c r="BC310" s="1324" t="s">
        <v>2116</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2196</v>
      </c>
      <c r="Q312" s="1389" t="str">
        <f>IFERROR(VLOOKUP('別紙様式2-2（４・５月分）'!AR236,【参考】数式用!$AT$5:$AV$22,3,FALSE),"")</f>
        <v/>
      </c>
      <c r="R312" s="1391" t="s">
        <v>2207</v>
      </c>
      <c r="S312" s="1399" t="str">
        <f>IFERROR(VLOOKUP(K310,【参考】数式用!$A$5:$AB$27,MATCH(Q312,【参考】数式用!$B$4:$AB$4,0)+1,0),"")</f>
        <v/>
      </c>
      <c r="T312" s="1462" t="s">
        <v>231</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2189</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2113</v>
      </c>
      <c r="BA314" s="1324" t="s">
        <v>2114</v>
      </c>
      <c r="BB314" s="1324" t="s">
        <v>2115</v>
      </c>
      <c r="BC314" s="1324" t="s">
        <v>2116</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2196</v>
      </c>
      <c r="Q316" s="1389" t="str">
        <f>IFERROR(VLOOKUP('別紙様式2-2（４・５月分）'!AR239,【参考】数式用!$AT$5:$AV$22,3,FALSE),"")</f>
        <v/>
      </c>
      <c r="R316" s="1391" t="s">
        <v>2207</v>
      </c>
      <c r="S316" s="1397" t="str">
        <f>IFERROR(VLOOKUP(K314,【参考】数式用!$A$5:$AB$27,MATCH(Q316,【参考】数式用!$B$4:$AB$4,0)+1,0),"")</f>
        <v/>
      </c>
      <c r="T316" s="1462" t="s">
        <v>231</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2189</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2113</v>
      </c>
      <c r="BA318" s="1324" t="s">
        <v>2114</v>
      </c>
      <c r="BB318" s="1324" t="s">
        <v>2115</v>
      </c>
      <c r="BC318" s="1324" t="s">
        <v>2116</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2196</v>
      </c>
      <c r="Q320" s="1389" t="str">
        <f>IFERROR(VLOOKUP('別紙様式2-2（４・５月分）'!AR242,【参考】数式用!$AT$5:$AV$22,3,FALSE),"")</f>
        <v/>
      </c>
      <c r="R320" s="1391" t="s">
        <v>2207</v>
      </c>
      <c r="S320" s="1399" t="str">
        <f>IFERROR(VLOOKUP(K318,【参考】数式用!$A$5:$AB$27,MATCH(Q320,【参考】数式用!$B$4:$AB$4,0)+1,0),"")</f>
        <v/>
      </c>
      <c r="T320" s="1462" t="s">
        <v>231</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2189</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2113</v>
      </c>
      <c r="BA322" s="1324" t="s">
        <v>2114</v>
      </c>
      <c r="BB322" s="1324" t="s">
        <v>2115</v>
      </c>
      <c r="BC322" s="1324" t="s">
        <v>2116</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2196</v>
      </c>
      <c r="Q324" s="1389" t="str">
        <f>IFERROR(VLOOKUP('別紙様式2-2（４・５月分）'!AR245,【参考】数式用!$AT$5:$AV$22,3,FALSE),"")</f>
        <v/>
      </c>
      <c r="R324" s="1391" t="s">
        <v>2207</v>
      </c>
      <c r="S324" s="1397" t="str">
        <f>IFERROR(VLOOKUP(K322,【参考】数式用!$A$5:$AB$27,MATCH(Q324,【参考】数式用!$B$4:$AB$4,0)+1,0),"")</f>
        <v/>
      </c>
      <c r="T324" s="1462" t="s">
        <v>231</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2189</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2113</v>
      </c>
      <c r="BA326" s="1324" t="s">
        <v>2114</v>
      </c>
      <c r="BB326" s="1324" t="s">
        <v>2115</v>
      </c>
      <c r="BC326" s="1324" t="s">
        <v>2116</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2196</v>
      </c>
      <c r="Q328" s="1389" t="str">
        <f>IFERROR(VLOOKUP('別紙様式2-2（４・５月分）'!AR248,【参考】数式用!$AT$5:$AV$22,3,FALSE),"")</f>
        <v/>
      </c>
      <c r="R328" s="1391" t="s">
        <v>2207</v>
      </c>
      <c r="S328" s="1399" t="str">
        <f>IFERROR(VLOOKUP(K326,【参考】数式用!$A$5:$AB$27,MATCH(Q328,【参考】数式用!$B$4:$AB$4,0)+1,0),"")</f>
        <v/>
      </c>
      <c r="T328" s="1462" t="s">
        <v>231</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2189</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2113</v>
      </c>
      <c r="BA330" s="1324" t="s">
        <v>2114</v>
      </c>
      <c r="BB330" s="1324" t="s">
        <v>2115</v>
      </c>
      <c r="BC330" s="1324" t="s">
        <v>2116</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2196</v>
      </c>
      <c r="Q332" s="1389" t="str">
        <f>IFERROR(VLOOKUP('別紙様式2-2（４・５月分）'!AR251,【参考】数式用!$AT$5:$AV$22,3,FALSE),"")</f>
        <v/>
      </c>
      <c r="R332" s="1391" t="s">
        <v>2207</v>
      </c>
      <c r="S332" s="1397" t="str">
        <f>IFERROR(VLOOKUP(K330,【参考】数式用!$A$5:$AB$27,MATCH(Q332,【参考】数式用!$B$4:$AB$4,0)+1,0),"")</f>
        <v/>
      </c>
      <c r="T332" s="1462" t="s">
        <v>231</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2189</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2113</v>
      </c>
      <c r="BA334" s="1324" t="s">
        <v>2114</v>
      </c>
      <c r="BB334" s="1324" t="s">
        <v>2115</v>
      </c>
      <c r="BC334" s="1324" t="s">
        <v>2116</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2196</v>
      </c>
      <c r="Q336" s="1389" t="str">
        <f>IFERROR(VLOOKUP('別紙様式2-2（４・５月分）'!AR254,【参考】数式用!$AT$5:$AV$22,3,FALSE),"")</f>
        <v/>
      </c>
      <c r="R336" s="1391" t="s">
        <v>2207</v>
      </c>
      <c r="S336" s="1399" t="str">
        <f>IFERROR(VLOOKUP(K334,【参考】数式用!$A$5:$AB$27,MATCH(Q336,【参考】数式用!$B$4:$AB$4,0)+1,0),"")</f>
        <v/>
      </c>
      <c r="T336" s="1462" t="s">
        <v>231</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2189</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2113</v>
      </c>
      <c r="BA338" s="1324" t="s">
        <v>2114</v>
      </c>
      <c r="BB338" s="1324" t="s">
        <v>2115</v>
      </c>
      <c r="BC338" s="1324" t="s">
        <v>2116</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2196</v>
      </c>
      <c r="Q340" s="1389" t="str">
        <f>IFERROR(VLOOKUP('別紙様式2-2（４・５月分）'!AR257,【参考】数式用!$AT$5:$AV$22,3,FALSE),"")</f>
        <v/>
      </c>
      <c r="R340" s="1391" t="s">
        <v>2207</v>
      </c>
      <c r="S340" s="1397" t="str">
        <f>IFERROR(VLOOKUP(K338,【参考】数式用!$A$5:$AB$27,MATCH(Q340,【参考】数式用!$B$4:$AB$4,0)+1,0),"")</f>
        <v/>
      </c>
      <c r="T340" s="1462" t="s">
        <v>231</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2189</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2113</v>
      </c>
      <c r="BA342" s="1324" t="s">
        <v>2114</v>
      </c>
      <c r="BB342" s="1324" t="s">
        <v>2115</v>
      </c>
      <c r="BC342" s="1324" t="s">
        <v>2116</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2196</v>
      </c>
      <c r="Q344" s="1389" t="str">
        <f>IFERROR(VLOOKUP('別紙様式2-2（４・５月分）'!AR260,【参考】数式用!$AT$5:$AV$22,3,FALSE),"")</f>
        <v/>
      </c>
      <c r="R344" s="1391" t="s">
        <v>2207</v>
      </c>
      <c r="S344" s="1399" t="str">
        <f>IFERROR(VLOOKUP(K342,【参考】数式用!$A$5:$AB$27,MATCH(Q344,【参考】数式用!$B$4:$AB$4,0)+1,0),"")</f>
        <v/>
      </c>
      <c r="T344" s="1462" t="s">
        <v>231</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2189</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2113</v>
      </c>
      <c r="BA346" s="1324" t="s">
        <v>2114</v>
      </c>
      <c r="BB346" s="1324" t="s">
        <v>2115</v>
      </c>
      <c r="BC346" s="1324" t="s">
        <v>2116</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2196</v>
      </c>
      <c r="Q348" s="1389" t="str">
        <f>IFERROR(VLOOKUP('別紙様式2-2（４・５月分）'!AR263,【参考】数式用!$AT$5:$AV$22,3,FALSE),"")</f>
        <v/>
      </c>
      <c r="R348" s="1391" t="s">
        <v>2207</v>
      </c>
      <c r="S348" s="1397" t="str">
        <f>IFERROR(VLOOKUP(K346,【参考】数式用!$A$5:$AB$27,MATCH(Q348,【参考】数式用!$B$4:$AB$4,0)+1,0),"")</f>
        <v/>
      </c>
      <c r="T348" s="1462" t="s">
        <v>231</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2189</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2113</v>
      </c>
      <c r="BA350" s="1324" t="s">
        <v>2114</v>
      </c>
      <c r="BB350" s="1324" t="s">
        <v>2115</v>
      </c>
      <c r="BC350" s="1324" t="s">
        <v>2116</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2196</v>
      </c>
      <c r="Q352" s="1389" t="str">
        <f>IFERROR(VLOOKUP('別紙様式2-2（４・５月分）'!AR266,【参考】数式用!$AT$5:$AV$22,3,FALSE),"")</f>
        <v/>
      </c>
      <c r="R352" s="1391" t="s">
        <v>2207</v>
      </c>
      <c r="S352" s="1399" t="str">
        <f>IFERROR(VLOOKUP(K350,【参考】数式用!$A$5:$AB$27,MATCH(Q352,【参考】数式用!$B$4:$AB$4,0)+1,0),"")</f>
        <v/>
      </c>
      <c r="T352" s="1462" t="s">
        <v>231</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2189</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2113</v>
      </c>
      <c r="BA354" s="1324" t="s">
        <v>2114</v>
      </c>
      <c r="BB354" s="1324" t="s">
        <v>2115</v>
      </c>
      <c r="BC354" s="1324" t="s">
        <v>2116</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2196</v>
      </c>
      <c r="Q356" s="1389" t="str">
        <f>IFERROR(VLOOKUP('別紙様式2-2（４・５月分）'!AR269,【参考】数式用!$AT$5:$AV$22,3,FALSE),"")</f>
        <v/>
      </c>
      <c r="R356" s="1391" t="s">
        <v>2207</v>
      </c>
      <c r="S356" s="1397" t="str">
        <f>IFERROR(VLOOKUP(K354,【参考】数式用!$A$5:$AB$27,MATCH(Q356,【参考】数式用!$B$4:$AB$4,0)+1,0),"")</f>
        <v/>
      </c>
      <c r="T356" s="1462" t="s">
        <v>231</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2189</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2113</v>
      </c>
      <c r="BA358" s="1324" t="s">
        <v>2114</v>
      </c>
      <c r="BB358" s="1324" t="s">
        <v>2115</v>
      </c>
      <c r="BC358" s="1324" t="s">
        <v>2116</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2196</v>
      </c>
      <c r="Q360" s="1389" t="str">
        <f>IFERROR(VLOOKUP('別紙様式2-2（４・５月分）'!AR272,【参考】数式用!$AT$5:$AV$22,3,FALSE),"")</f>
        <v/>
      </c>
      <c r="R360" s="1391" t="s">
        <v>2207</v>
      </c>
      <c r="S360" s="1399" t="str">
        <f>IFERROR(VLOOKUP(K358,【参考】数式用!$A$5:$AB$27,MATCH(Q360,【参考】数式用!$B$4:$AB$4,0)+1,0),"")</f>
        <v/>
      </c>
      <c r="T360" s="1462" t="s">
        <v>231</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2189</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2113</v>
      </c>
      <c r="BA362" s="1324" t="s">
        <v>2114</v>
      </c>
      <c r="BB362" s="1324" t="s">
        <v>2115</v>
      </c>
      <c r="BC362" s="1324" t="s">
        <v>2116</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2196</v>
      </c>
      <c r="Q364" s="1389" t="str">
        <f>IFERROR(VLOOKUP('別紙様式2-2（４・５月分）'!AR275,【参考】数式用!$AT$5:$AV$22,3,FALSE),"")</f>
        <v/>
      </c>
      <c r="R364" s="1391" t="s">
        <v>2207</v>
      </c>
      <c r="S364" s="1397" t="str">
        <f>IFERROR(VLOOKUP(K362,【参考】数式用!$A$5:$AB$27,MATCH(Q364,【参考】数式用!$B$4:$AB$4,0)+1,0),"")</f>
        <v/>
      </c>
      <c r="T364" s="1462" t="s">
        <v>231</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2189</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2113</v>
      </c>
      <c r="BA366" s="1324" t="s">
        <v>2114</v>
      </c>
      <c r="BB366" s="1324" t="s">
        <v>2115</v>
      </c>
      <c r="BC366" s="1324" t="s">
        <v>2116</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2196</v>
      </c>
      <c r="Q368" s="1389" t="str">
        <f>IFERROR(VLOOKUP('別紙様式2-2（４・５月分）'!AR278,【参考】数式用!$AT$5:$AV$22,3,FALSE),"")</f>
        <v/>
      </c>
      <c r="R368" s="1391" t="s">
        <v>2207</v>
      </c>
      <c r="S368" s="1399" t="str">
        <f>IFERROR(VLOOKUP(K366,【参考】数式用!$A$5:$AB$27,MATCH(Q368,【参考】数式用!$B$4:$AB$4,0)+1,0),"")</f>
        <v/>
      </c>
      <c r="T368" s="1462" t="s">
        <v>231</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2189</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2113</v>
      </c>
      <c r="BA370" s="1324" t="s">
        <v>2114</v>
      </c>
      <c r="BB370" s="1324" t="s">
        <v>2115</v>
      </c>
      <c r="BC370" s="1324" t="s">
        <v>2116</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2196</v>
      </c>
      <c r="Q372" s="1389" t="str">
        <f>IFERROR(VLOOKUP('別紙様式2-2（４・５月分）'!AR281,【参考】数式用!$AT$5:$AV$22,3,FALSE),"")</f>
        <v/>
      </c>
      <c r="R372" s="1391" t="s">
        <v>2207</v>
      </c>
      <c r="S372" s="1397" t="str">
        <f>IFERROR(VLOOKUP(K370,【参考】数式用!$A$5:$AB$27,MATCH(Q372,【参考】数式用!$B$4:$AB$4,0)+1,0),"")</f>
        <v/>
      </c>
      <c r="T372" s="1462" t="s">
        <v>231</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2189</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2113</v>
      </c>
      <c r="BA374" s="1324" t="s">
        <v>2114</v>
      </c>
      <c r="BB374" s="1324" t="s">
        <v>2115</v>
      </c>
      <c r="BC374" s="1324" t="s">
        <v>2116</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2196</v>
      </c>
      <c r="Q376" s="1389" t="str">
        <f>IFERROR(VLOOKUP('別紙様式2-2（４・５月分）'!AR284,【参考】数式用!$AT$5:$AV$22,3,FALSE),"")</f>
        <v/>
      </c>
      <c r="R376" s="1391" t="s">
        <v>2207</v>
      </c>
      <c r="S376" s="1397" t="str">
        <f>IFERROR(VLOOKUP(K374,【参考】数式用!$A$5:$AB$27,MATCH(Q376,【参考】数式用!$B$4:$AB$4,0)+1,0),"")</f>
        <v/>
      </c>
      <c r="T376" s="1462" t="s">
        <v>231</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2189</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2113</v>
      </c>
      <c r="BA378" s="1324" t="s">
        <v>2114</v>
      </c>
      <c r="BB378" s="1324" t="s">
        <v>2115</v>
      </c>
      <c r="BC378" s="1324" t="s">
        <v>2116</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2196</v>
      </c>
      <c r="Q380" s="1389" t="str">
        <f>IFERROR(VLOOKUP('別紙様式2-2（４・５月分）'!AR287,【参考】数式用!$AT$5:$AV$22,3,FALSE),"")</f>
        <v/>
      </c>
      <c r="R380" s="1391" t="s">
        <v>2207</v>
      </c>
      <c r="S380" s="1399" t="str">
        <f>IFERROR(VLOOKUP(K378,【参考】数式用!$A$5:$AB$27,MATCH(Q380,【参考】数式用!$B$4:$AB$4,0)+1,0),"")</f>
        <v/>
      </c>
      <c r="T380" s="1462" t="s">
        <v>231</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2189</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2113</v>
      </c>
      <c r="BA382" s="1324" t="s">
        <v>2114</v>
      </c>
      <c r="BB382" s="1324" t="s">
        <v>2115</v>
      </c>
      <c r="BC382" s="1324" t="s">
        <v>2116</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2196</v>
      </c>
      <c r="Q384" s="1389" t="str">
        <f>IFERROR(VLOOKUP('別紙様式2-2（４・５月分）'!AR290,【参考】数式用!$AT$5:$AV$22,3,FALSE),"")</f>
        <v/>
      </c>
      <c r="R384" s="1391" t="s">
        <v>2207</v>
      </c>
      <c r="S384" s="1397" t="str">
        <f>IFERROR(VLOOKUP(K382,【参考】数式用!$A$5:$AB$27,MATCH(Q384,【参考】数式用!$B$4:$AB$4,0)+1,0),"")</f>
        <v/>
      </c>
      <c r="T384" s="1462" t="s">
        <v>231</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2189</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2113</v>
      </c>
      <c r="BA386" s="1324" t="s">
        <v>2114</v>
      </c>
      <c r="BB386" s="1324" t="s">
        <v>2115</v>
      </c>
      <c r="BC386" s="1324" t="s">
        <v>2116</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2196</v>
      </c>
      <c r="Q388" s="1389" t="str">
        <f>IFERROR(VLOOKUP('別紙様式2-2（４・５月分）'!AR293,【参考】数式用!$AT$5:$AV$22,3,FALSE),"")</f>
        <v/>
      </c>
      <c r="R388" s="1391" t="s">
        <v>2207</v>
      </c>
      <c r="S388" s="1399" t="str">
        <f>IFERROR(VLOOKUP(K386,【参考】数式用!$A$5:$AB$27,MATCH(Q388,【参考】数式用!$B$4:$AB$4,0)+1,0),"")</f>
        <v/>
      </c>
      <c r="T388" s="1462" t="s">
        <v>231</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2189</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2113</v>
      </c>
      <c r="BA390" s="1324" t="s">
        <v>2114</v>
      </c>
      <c r="BB390" s="1324" t="s">
        <v>2115</v>
      </c>
      <c r="BC390" s="1324" t="s">
        <v>2116</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2196</v>
      </c>
      <c r="Q392" s="1389" t="str">
        <f>IFERROR(VLOOKUP('別紙様式2-2（４・５月分）'!AR296,【参考】数式用!$AT$5:$AV$22,3,FALSE),"")</f>
        <v/>
      </c>
      <c r="R392" s="1391" t="s">
        <v>2207</v>
      </c>
      <c r="S392" s="1397" t="str">
        <f>IFERROR(VLOOKUP(K390,【参考】数式用!$A$5:$AB$27,MATCH(Q392,【参考】数式用!$B$4:$AB$4,0)+1,0),"")</f>
        <v/>
      </c>
      <c r="T392" s="1462" t="s">
        <v>231</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2189</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2113</v>
      </c>
      <c r="BA394" s="1324" t="s">
        <v>2114</v>
      </c>
      <c r="BB394" s="1324" t="s">
        <v>2115</v>
      </c>
      <c r="BC394" s="1324" t="s">
        <v>2116</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2196</v>
      </c>
      <c r="Q396" s="1389" t="str">
        <f>IFERROR(VLOOKUP('別紙様式2-2（４・５月分）'!AR299,【参考】数式用!$AT$5:$AV$22,3,FALSE),"")</f>
        <v/>
      </c>
      <c r="R396" s="1391" t="s">
        <v>2207</v>
      </c>
      <c r="S396" s="1399" t="str">
        <f>IFERROR(VLOOKUP(K394,【参考】数式用!$A$5:$AB$27,MATCH(Q396,【参考】数式用!$B$4:$AB$4,0)+1,0),"")</f>
        <v/>
      </c>
      <c r="T396" s="1462" t="s">
        <v>231</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2189</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2113</v>
      </c>
      <c r="BA398" s="1324" t="s">
        <v>2114</v>
      </c>
      <c r="BB398" s="1324" t="s">
        <v>2115</v>
      </c>
      <c r="BC398" s="1324" t="s">
        <v>2116</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2196</v>
      </c>
      <c r="Q400" s="1389" t="str">
        <f>IFERROR(VLOOKUP('別紙様式2-2（４・５月分）'!AR302,【参考】数式用!$AT$5:$AV$22,3,FALSE),"")</f>
        <v/>
      </c>
      <c r="R400" s="1391" t="s">
        <v>2207</v>
      </c>
      <c r="S400" s="1397" t="str">
        <f>IFERROR(VLOOKUP(K398,【参考】数式用!$A$5:$AB$27,MATCH(Q400,【参考】数式用!$B$4:$AB$4,0)+1,0),"")</f>
        <v/>
      </c>
      <c r="T400" s="1462" t="s">
        <v>231</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2189</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2113</v>
      </c>
      <c r="BA402" s="1324" t="s">
        <v>2114</v>
      </c>
      <c r="BB402" s="1324" t="s">
        <v>2115</v>
      </c>
      <c r="BC402" s="1324" t="s">
        <v>2116</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2196</v>
      </c>
      <c r="Q404" s="1389" t="str">
        <f>IFERROR(VLOOKUP('別紙様式2-2（４・５月分）'!AR305,【参考】数式用!$AT$5:$AV$22,3,FALSE),"")</f>
        <v/>
      </c>
      <c r="R404" s="1391" t="s">
        <v>2207</v>
      </c>
      <c r="S404" s="1399" t="str">
        <f>IFERROR(VLOOKUP(K402,【参考】数式用!$A$5:$AB$27,MATCH(Q404,【参考】数式用!$B$4:$AB$4,0)+1,0),"")</f>
        <v/>
      </c>
      <c r="T404" s="1462" t="s">
        <v>231</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2189</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2113</v>
      </c>
      <c r="BA406" s="1324" t="s">
        <v>2114</v>
      </c>
      <c r="BB406" s="1324" t="s">
        <v>2115</v>
      </c>
      <c r="BC406" s="1324" t="s">
        <v>2116</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2196</v>
      </c>
      <c r="Q408" s="1389" t="str">
        <f>IFERROR(VLOOKUP('別紙様式2-2（４・５月分）'!AR308,【参考】数式用!$AT$5:$AV$22,3,FALSE),"")</f>
        <v/>
      </c>
      <c r="R408" s="1391" t="s">
        <v>2207</v>
      </c>
      <c r="S408" s="1397" t="str">
        <f>IFERROR(VLOOKUP(K406,【参考】数式用!$A$5:$AB$27,MATCH(Q408,【参考】数式用!$B$4:$AB$4,0)+1,0),"")</f>
        <v/>
      </c>
      <c r="T408" s="1462" t="s">
        <v>231</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2189</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2113</v>
      </c>
      <c r="BA410" s="1324" t="s">
        <v>2114</v>
      </c>
      <c r="BB410" s="1324" t="s">
        <v>2115</v>
      </c>
      <c r="BC410" s="1324" t="s">
        <v>2116</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2196</v>
      </c>
      <c r="Q412" s="1389" t="str">
        <f>IFERROR(VLOOKUP('別紙様式2-2（４・５月分）'!AR311,【参考】数式用!$AT$5:$AV$22,3,FALSE),"")</f>
        <v/>
      </c>
      <c r="R412" s="1391" t="s">
        <v>2207</v>
      </c>
      <c r="S412" s="1399" t="str">
        <f>IFERROR(VLOOKUP(K410,【参考】数式用!$A$5:$AB$27,MATCH(Q412,【参考】数式用!$B$4:$AB$4,0)+1,0),"")</f>
        <v/>
      </c>
      <c r="T412" s="1462" t="s">
        <v>231</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XT3pZENKgmTmjEpTQi93v+mV0s3jb/hqdhws1DnX5sBHg4qstnVJmhuwFqarQVkl1VyrWFTio5/Hb5x86AVBEw==" saltValue="XYZioQ3Z8rFrdN5xxPH7vg=="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206:AL207"/>
    <mergeCell ref="AL208:AL209"/>
    <mergeCell ref="AL210:AL211"/>
    <mergeCell ref="AL212:AL213"/>
    <mergeCell ref="AL214:AL215"/>
    <mergeCell ref="AL216:AL217"/>
    <mergeCell ref="AL218:AL219"/>
    <mergeCell ref="AL220:AL221"/>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L222:AL223"/>
    <mergeCell ref="AL224:AL225"/>
    <mergeCell ref="AL226:AL22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38:AN339"/>
    <mergeCell ref="AN340:AN341"/>
    <mergeCell ref="AN282:AN283"/>
    <mergeCell ref="AN284:AN285"/>
    <mergeCell ref="AN286:AN287"/>
    <mergeCell ref="AN288:AN289"/>
    <mergeCell ref="AN290:AN291"/>
    <mergeCell ref="AN292:AN293"/>
    <mergeCell ref="AN294:AN295"/>
    <mergeCell ref="AN296:AN297"/>
    <mergeCell ref="AN298:AN299"/>
    <mergeCell ref="AN300:AN301"/>
    <mergeCell ref="AN302:AN303"/>
    <mergeCell ref="AN304:AN30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M394:AM395"/>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Y328:Y329"/>
    <mergeCell ref="Z328:Z329"/>
    <mergeCell ref="AA328:AA329"/>
    <mergeCell ref="AB328:AB329"/>
    <mergeCell ref="AC328:AC329"/>
    <mergeCell ref="AD328:AD329"/>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M320:AM321"/>
    <mergeCell ref="AO320:AO321"/>
    <mergeCell ref="AP320:AP321"/>
    <mergeCell ref="AQ320:AQ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F324:AF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K234:AK235"/>
    <mergeCell ref="AM234:AM235"/>
    <mergeCell ref="AO234:AO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L232:AL233"/>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4:AG225"/>
    <mergeCell ref="AH224:AH225"/>
    <mergeCell ref="AI224:AI225"/>
    <mergeCell ref="AJ224:AJ225"/>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F222:AF223"/>
    <mergeCell ref="AG222:AG223"/>
    <mergeCell ref="AH222:AH223"/>
    <mergeCell ref="AI222:AI223"/>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C214:AC215"/>
    <mergeCell ref="AD214:AD215"/>
    <mergeCell ref="AE214:AE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H198:AH199"/>
    <mergeCell ref="AI198:AI199"/>
    <mergeCell ref="AJ198:AJ199"/>
    <mergeCell ref="AK198:AK199"/>
    <mergeCell ref="AM198:AM199"/>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AF192:AF193"/>
    <mergeCell ref="AG192:AG193"/>
    <mergeCell ref="AH192:AH193"/>
    <mergeCell ref="AR198:AR199"/>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I192:AI193"/>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L188:AL189"/>
    <mergeCell ref="AL190:AL191"/>
    <mergeCell ref="AR196:AR197"/>
    <mergeCell ref="AS196:AS197"/>
    <mergeCell ref="AA194:AA195"/>
    <mergeCell ref="AB194:AB195"/>
    <mergeCell ref="AC194:AC195"/>
    <mergeCell ref="AD194:AD195"/>
    <mergeCell ref="AE194:AE195"/>
    <mergeCell ref="AF194:AF195"/>
    <mergeCell ref="AG194:AG195"/>
    <mergeCell ref="AH194:AH195"/>
    <mergeCell ref="AI194:AI195"/>
    <mergeCell ref="AJ194:AJ195"/>
    <mergeCell ref="AK194:AK195"/>
    <mergeCell ref="AK196:AK197"/>
    <mergeCell ref="AM196:AM197"/>
    <mergeCell ref="AO196:AO197"/>
    <mergeCell ref="AR194:AR195"/>
    <mergeCell ref="AS194:AS195"/>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B190:AB191"/>
    <mergeCell ref="AC190:AC191"/>
    <mergeCell ref="AD190:AD191"/>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K188:AK189"/>
    <mergeCell ref="AI186:AI187"/>
    <mergeCell ref="AJ186:AJ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0:AL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K182:AK183"/>
    <mergeCell ref="AM182:AM183"/>
    <mergeCell ref="AO182:AO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F86:AF87"/>
    <mergeCell ref="AG86:AG87"/>
    <mergeCell ref="AH86:AH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AJ76:AJ77"/>
    <mergeCell ref="AK76:AK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X52:X53"/>
    <mergeCell ref="Y52:Y53"/>
    <mergeCell ref="Z52:Z53"/>
    <mergeCell ref="AA52:AA53"/>
    <mergeCell ref="AB52:AB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53125" defaultRowHeight="16.5"/>
  <cols>
    <col min="1" max="1" width="5.6328125" style="175" customWidth="1"/>
    <col min="2" max="6" width="2.6328125" style="610" customWidth="1"/>
    <col min="7" max="7" width="13.08984375" style="175" customWidth="1"/>
    <col min="8" max="8" width="8.453125" style="175" customWidth="1"/>
    <col min="9" max="9" width="9.36328125" style="692" customWidth="1"/>
    <col min="10" max="10" width="14.453125" style="175" customWidth="1"/>
    <col min="11" max="11" width="16.6328125" style="285" customWidth="1"/>
    <col min="12" max="12" width="14.453125" style="615" customWidth="1"/>
    <col min="13" max="13" width="6.6328125" style="615" customWidth="1"/>
    <col min="14" max="14" width="15" style="615" customWidth="1"/>
    <col min="15" max="15" width="5.90625" style="615" customWidth="1"/>
    <col min="16" max="16" width="2.6328125" style="614" customWidth="1"/>
    <col min="17" max="17" width="15.08984375" style="614" customWidth="1"/>
    <col min="18" max="18" width="2.36328125" style="615" customWidth="1"/>
    <col min="19" max="19" width="7.36328125" style="615" customWidth="1"/>
    <col min="20" max="20" width="18" style="615" customWidth="1"/>
    <col min="21" max="21" width="15.08984375" style="614" customWidth="1"/>
    <col min="22" max="22" width="7" style="615" customWidth="1"/>
    <col min="23" max="23" width="4.6328125" style="285" customWidth="1"/>
    <col min="24" max="25" width="2.90625" style="285" customWidth="1"/>
    <col min="26" max="26" width="3.6328125" style="285" customWidth="1"/>
    <col min="27" max="27" width="10" style="285" customWidth="1"/>
    <col min="28" max="29" width="2.90625" style="285" customWidth="1"/>
    <col min="30" max="30" width="3.453125" style="285" customWidth="1"/>
    <col min="31" max="32" width="2.90625" style="285" customWidth="1"/>
    <col min="33" max="33" width="3.6328125" style="285" customWidth="1"/>
    <col min="34" max="34" width="6.08984375" style="285" customWidth="1"/>
    <col min="35" max="37" width="14.36328125" style="615" customWidth="1"/>
    <col min="38" max="38" width="9.08984375" style="615" customWidth="1"/>
    <col min="39" max="39" width="14.36328125" style="615" customWidth="1"/>
    <col min="40" max="40" width="8.6328125" style="615" customWidth="1"/>
    <col min="41" max="41" width="11.36328125" style="175" customWidth="1"/>
    <col min="42" max="42" width="9.90625" style="175" customWidth="1"/>
    <col min="43" max="43" width="11.08984375" style="443" customWidth="1"/>
    <col min="44" max="44" width="12" style="687" customWidth="1"/>
    <col min="45" max="45" width="21.36328125" style="443" customWidth="1"/>
    <col min="46" max="46" width="61" style="443" customWidth="1"/>
    <col min="47" max="47" width="8.36328125" style="443" customWidth="1"/>
    <col min="48" max="48" width="17.90625" style="440" hidden="1" customWidth="1"/>
    <col min="49" max="49" width="10.90625" style="440" hidden="1" customWidth="1"/>
    <col min="50" max="50" width="6.453125" style="440" hidden="1" customWidth="1"/>
    <col min="51" max="51" width="19.6328125" style="440" hidden="1" customWidth="1"/>
    <col min="52" max="52" width="8.08984375" style="440" hidden="1" customWidth="1"/>
    <col min="53" max="55" width="7.36328125" style="440" hidden="1" customWidth="1"/>
    <col min="56" max="56" width="8.6328125" style="440" hidden="1" customWidth="1"/>
    <col min="57" max="57" width="8.36328125" style="596" hidden="1" customWidth="1"/>
    <col min="58" max="60" width="7.36328125" style="440" customWidth="1"/>
    <col min="61" max="63" width="6.6328125" style="175" customWidth="1"/>
    <col min="64" max="16384" width="2.4531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○○ケアサービス</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2388</v>
      </c>
      <c r="B5" s="1533"/>
      <c r="C5" s="1533"/>
      <c r="D5" s="1533"/>
      <c r="E5" s="1533"/>
      <c r="F5" s="1533"/>
      <c r="G5" s="1533"/>
      <c r="H5" s="1533"/>
      <c r="I5" s="1533"/>
      <c r="J5" s="1533"/>
      <c r="K5" s="1534"/>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2385</v>
      </c>
      <c r="C6" s="1231"/>
      <c r="D6" s="1231"/>
      <c r="E6" s="1231"/>
      <c r="F6" s="1231"/>
      <c r="G6" s="1231"/>
      <c r="H6" s="1231"/>
      <c r="I6" s="1231"/>
      <c r="J6" s="1231"/>
      <c r="K6" s="1232"/>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2128</v>
      </c>
      <c r="AL6" s="1404"/>
      <c r="AM6" s="1404"/>
      <c r="AN6" s="1404"/>
      <c r="AO6" s="1404"/>
      <c r="AP6" s="1404"/>
      <c r="AQ6" s="1405"/>
      <c r="AR6" s="668">
        <f>SUMIF(T:T,"区分変更後の算定予定",AR:AR)</f>
        <v>0</v>
      </c>
      <c r="AS6" s="537"/>
      <c r="AT6" s="524"/>
      <c r="AU6" s="524"/>
      <c r="AV6" s="1598" t="s">
        <v>2284</v>
      </c>
      <c r="AW6" s="1599"/>
      <c r="AY6" s="648"/>
      <c r="AZ6" s="648"/>
      <c r="BA6" s="648"/>
      <c r="BB6" s="648"/>
      <c r="BC6" s="648"/>
      <c r="BD6" s="648"/>
      <c r="BE6" s="648"/>
      <c r="BF6" s="648"/>
      <c r="BG6" s="648"/>
      <c r="BH6" s="648"/>
    </row>
    <row r="7" spans="1:60" ht="35.25" customHeight="1" thickBot="1">
      <c r="A7" s="632"/>
      <c r="B7" s="1337" t="s">
        <v>2386</v>
      </c>
      <c r="C7" s="1231"/>
      <c r="D7" s="1231"/>
      <c r="E7" s="1231"/>
      <c r="F7" s="1231"/>
      <c r="G7" s="1231"/>
      <c r="H7" s="1231"/>
      <c r="I7" s="1231"/>
      <c r="J7" s="1231"/>
      <c r="K7" s="1232"/>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2375</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2387</v>
      </c>
      <c r="C8" s="1231"/>
      <c r="D8" s="1231"/>
      <c r="E8" s="1231"/>
      <c r="F8" s="1231"/>
      <c r="G8" s="1231"/>
      <c r="H8" s="1231"/>
      <c r="I8" s="1231"/>
      <c r="J8" s="1231"/>
      <c r="K8" s="1232"/>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2391</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9"/>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142</v>
      </c>
      <c r="X12" s="1445"/>
      <c r="Y12" s="1445"/>
      <c r="Z12" s="1445"/>
      <c r="AA12" s="1445"/>
      <c r="AB12" s="1445"/>
      <c r="AC12" s="1445"/>
      <c r="AD12" s="1445"/>
      <c r="AE12" s="1445"/>
      <c r="AF12" s="1445"/>
      <c r="AG12" s="1445"/>
      <c r="AH12" s="1446"/>
      <c r="AI12" s="1444" t="s">
        <v>2185</v>
      </c>
      <c r="AJ12" s="1564" t="s">
        <v>2349</v>
      </c>
      <c r="AK12" s="1566" t="s">
        <v>2211</v>
      </c>
      <c r="AL12" s="1331"/>
      <c r="AM12" s="1518" t="s">
        <v>2193</v>
      </c>
      <c r="AN12" s="1331"/>
      <c r="AO12" s="1330" t="s">
        <v>255</v>
      </c>
      <c r="AP12" s="1331"/>
      <c r="AQ12" s="543" t="s">
        <v>249</v>
      </c>
      <c r="AR12" s="543" t="s">
        <v>253</v>
      </c>
      <c r="AS12" s="544" t="s">
        <v>254</v>
      </c>
      <c r="AT12" s="1346" t="s">
        <v>2345</v>
      </c>
      <c r="AU12" s="673"/>
      <c r="AV12" s="519"/>
      <c r="BF12" s="1527" t="s">
        <v>2378</v>
      </c>
      <c r="BG12" s="1528"/>
      <c r="BH12" s="1529"/>
    </row>
    <row r="13" spans="1:60" ht="132.75" customHeight="1" thickBot="1">
      <c r="A13" s="1260"/>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540"/>
      <c r="W13" s="1541"/>
      <c r="X13" s="1124"/>
      <c r="Y13" s="1124"/>
      <c r="Z13" s="1124"/>
      <c r="AA13" s="1124"/>
      <c r="AB13" s="1124"/>
      <c r="AC13" s="1124"/>
      <c r="AD13" s="1124"/>
      <c r="AE13" s="1124"/>
      <c r="AF13" s="1124"/>
      <c r="AG13" s="1124"/>
      <c r="AH13" s="1542"/>
      <c r="AI13" s="1543"/>
      <c r="AJ13" s="1565"/>
      <c r="AK13" s="674" t="s">
        <v>2195</v>
      </c>
      <c r="AL13" s="675" t="s">
        <v>2208</v>
      </c>
      <c r="AM13" s="675" t="s">
        <v>2190</v>
      </c>
      <c r="AN13" s="676" t="s">
        <v>2209</v>
      </c>
      <c r="AO13" s="676" t="s">
        <v>2350</v>
      </c>
      <c r="AP13" s="675" t="s">
        <v>2351</v>
      </c>
      <c r="AQ13" s="677" t="s">
        <v>248</v>
      </c>
      <c r="AR13" s="552" t="s">
        <v>2362</v>
      </c>
      <c r="AS13" s="678" t="s">
        <v>2355</v>
      </c>
      <c r="AT13" s="1234"/>
      <c r="AU13" s="673"/>
      <c r="AV13" s="555" t="s">
        <v>2204</v>
      </c>
      <c r="AW13" s="657" t="s">
        <v>2231</v>
      </c>
      <c r="AX13" s="657" t="s">
        <v>2232</v>
      </c>
      <c r="AY13" s="555" t="s">
        <v>2198</v>
      </c>
      <c r="AZ13" s="555" t="s">
        <v>2212</v>
      </c>
      <c r="BA13" s="555" t="s">
        <v>2199</v>
      </c>
      <c r="BB13" s="555" t="s">
        <v>2200</v>
      </c>
      <c r="BC13" s="555" t="s">
        <v>2201</v>
      </c>
      <c r="BD13" s="558" t="s">
        <v>2202</v>
      </c>
      <c r="BE13" s="558" t="s">
        <v>2203</v>
      </c>
      <c r="BF13" s="1530"/>
      <c r="BG13" s="1531"/>
      <c r="BH13" s="1532"/>
    </row>
    <row r="14" spans="1:60"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369">
        <f>IF(SUM('別紙様式2-2（４・５月分）'!R14:R16)=0,"",SUM('別紙様式2-2（４・５月分）'!R14:R16))</f>
        <v>0.224</v>
      </c>
      <c r="P14" s="1383" t="str">
        <f>IFERROR(VLOOKUP('別紙様式2-2（４・５月分）'!AR14,【参考】数式用!$AT$5:$AU$22,2,FALSE),"")</f>
        <v>新加算Ⅰ</v>
      </c>
      <c r="Q14" s="1384"/>
      <c r="R14" s="1385"/>
      <c r="S14" s="1395">
        <f>IFERROR(VLOOKUP(K14,【参考】数式用!$A$5:$AB$27,MATCH(P14,【参考】数式用!$B$4:$AB$4,0)+1,0),"")</f>
        <v>0.245</v>
      </c>
      <c r="T14" s="1416" t="s">
        <v>2210</v>
      </c>
      <c r="U14" s="1562" t="str">
        <f>IF('別紙様式2-3（６月以降分）'!U14="","",'別紙様式2-3（６月以降分）'!U14)</f>
        <v>新加算Ⅰ</v>
      </c>
      <c r="V14" s="1460">
        <f>IFERROR(VLOOKUP(K14,【参考】数式用!$A$5:$AB$27,MATCH(U14,【参考】数式用!$B$4:$AB$4,0)+1,0),"")</f>
        <v>0.245</v>
      </c>
      <c r="W14" s="1353" t="s">
        <v>19</v>
      </c>
      <c r="X14" s="1554">
        <f>'別紙様式2-3（６月以降分）'!X14</f>
        <v>6</v>
      </c>
      <c r="Y14" s="1357" t="s">
        <v>10</v>
      </c>
      <c r="Z14" s="1554">
        <f>'別紙様式2-3（６月以降分）'!Z14</f>
        <v>6</v>
      </c>
      <c r="AA14" s="1357" t="s">
        <v>45</v>
      </c>
      <c r="AB14" s="1554">
        <f>'別紙様式2-3（６月以降分）'!AB14</f>
        <v>7</v>
      </c>
      <c r="AC14" s="1357" t="s">
        <v>10</v>
      </c>
      <c r="AD14" s="1554">
        <f>'別紙様式2-3（６月以降分）'!AD14</f>
        <v>3</v>
      </c>
      <c r="AE14" s="1357" t="s">
        <v>13</v>
      </c>
      <c r="AF14" s="1357" t="s">
        <v>24</v>
      </c>
      <c r="AG14" s="1357">
        <f>IF(X14&gt;=1,(AB14*12+AD14)-(X14*12+Z14)+1,"")</f>
        <v>10</v>
      </c>
      <c r="AH14" s="1363" t="s">
        <v>38</v>
      </c>
      <c r="AI14" s="1484">
        <f>'別紙様式2-3（６月以降分）'!AI14</f>
        <v>5167050</v>
      </c>
      <c r="AJ14" s="1556">
        <f>'別紙様式2-3（６月以降分）'!AJ14</f>
        <v>2172270</v>
      </c>
      <c r="AK14" s="1558">
        <f>'別紙様式2-3（６月以降分）'!AK14</f>
        <v>1529025</v>
      </c>
      <c r="AL14" s="1560" t="str">
        <f>IF('別紙様式2-3（６月以降分）'!AL14="","",'別紙様式2-3（６月以降分）'!AL14)</f>
        <v/>
      </c>
      <c r="AM14" s="1572">
        <f>'別紙様式2-3（６月以降分）'!AM14</f>
        <v>0</v>
      </c>
      <c r="AN14" s="1574" t="str">
        <f>IF('別紙様式2-3（６月以降分）'!AN14="","",'別紙様式2-3（６月以降分）'!AN14)</f>
        <v/>
      </c>
      <c r="AO14" s="1367" t="str">
        <f>IF('別紙様式2-3（６月以降分）'!AO14="","",'別紙様式2-3（６月以降分）'!AO14)</f>
        <v>令和６年度中に満たす</v>
      </c>
      <c r="AP14" s="1505" t="str">
        <f>IF('別紙様式2-3（６月以降分）'!AP14="","",'別紙様式2-3（６月以降分）'!AP14)</f>
        <v/>
      </c>
      <c r="AQ14" s="1406" t="str">
        <f>IF('別紙様式2-3（６月以降分）'!AQ14="","",'別紙様式2-3（６月以降分）'!AQ14)</f>
        <v>令和６年度中に満たす</v>
      </c>
      <c r="AR14" s="1586">
        <f>IF('別紙様式2-3（６月以降分）'!AR14="","",'別紙様式2-3（６月以降分）'!AR14)</f>
        <v>1</v>
      </c>
      <c r="AS14" s="156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処遇加算Ⅱ</v>
      </c>
      <c r="AX14" s="1525">
        <f>IF(SUM('別紙様式2-2（４・５月分）'!P14:P16)=0,"",SUM('別紙様式2-2（４・５月分）'!P14:P16))</f>
        <v>0.14200000000000002</v>
      </c>
      <c r="AY14" s="1593" t="str">
        <f>IFERROR(VLOOKUP(K14,【参考】数式用!$AJ$2:$AK$24,2,FALSE),"")</f>
        <v>訪問介護</v>
      </c>
      <c r="AZ14" s="596"/>
      <c r="BE14" s="440"/>
      <c r="BF14" s="1496" t="str">
        <f>G14</f>
        <v>東京都</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370"/>
      <c r="P15" s="1386"/>
      <c r="Q15" s="1387"/>
      <c r="R15" s="1388"/>
      <c r="S15" s="1396"/>
      <c r="T15" s="1417"/>
      <c r="U15" s="1563"/>
      <c r="V15" s="1461"/>
      <c r="W15" s="1354"/>
      <c r="X15" s="1555"/>
      <c r="Y15" s="1358"/>
      <c r="Z15" s="1555"/>
      <c r="AA15" s="1358"/>
      <c r="AB15" s="1555"/>
      <c r="AC15" s="1358"/>
      <c r="AD15" s="1555"/>
      <c r="AE15" s="1358"/>
      <c r="AF15" s="1358"/>
      <c r="AG15" s="1358"/>
      <c r="AH15" s="1364"/>
      <c r="AI15" s="1485"/>
      <c r="AJ15" s="1557"/>
      <c r="AK15" s="1559"/>
      <c r="AL15" s="1561"/>
      <c r="AM15" s="1573"/>
      <c r="AN15" s="1575"/>
      <c r="AO15" s="1576"/>
      <c r="AP15" s="1567"/>
      <c r="AQ15" s="1577"/>
      <c r="AR15" s="1587"/>
      <c r="AS15" s="1569"/>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特定加算Ⅱ</v>
      </c>
      <c r="AX15" s="1510"/>
      <c r="AY15" s="1592"/>
      <c r="AZ15" s="533"/>
      <c r="BE15" s="440"/>
      <c r="BF15" s="1496" t="str">
        <f>G14</f>
        <v>東京都</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2196</v>
      </c>
      <c r="Q16" s="1507" t="str">
        <f>IFERROR(VLOOKUP('別紙様式2-2（４・５月分）'!AR14,【参考】数式用!$AT$5:$AV$22,3,FALSE),"")</f>
        <v xml:space="preserve"> </v>
      </c>
      <c r="R16" s="1426" t="s">
        <v>2207</v>
      </c>
      <c r="S16" s="1399" t="str">
        <f>IFERROR(VLOOKUP(K14,【参考】数式用!$A$5:$AB$27,MATCH(Q16,【参考】数式用!$B$4:$AB$4,0)+1,0),"")</f>
        <v/>
      </c>
      <c r="T16" s="1462" t="s">
        <v>2285</v>
      </c>
      <c r="U16" s="1570"/>
      <c r="V16" s="1466" t="str">
        <f>IFERROR(VLOOKUP(K14,【参考】数式用!$A$5:$AB$27,MATCH(U16,【参考】数式用!$B$4:$AB$4,0)+1,0),"")</f>
        <v/>
      </c>
      <c r="W16" s="1468" t="s">
        <v>19</v>
      </c>
      <c r="X16" s="1538"/>
      <c r="Y16" s="1410" t="s">
        <v>10</v>
      </c>
      <c r="Z16" s="1538"/>
      <c r="AA16" s="1410" t="s">
        <v>45</v>
      </c>
      <c r="AB16" s="1538"/>
      <c r="AC16" s="1410" t="s">
        <v>10</v>
      </c>
      <c r="AD16" s="1538"/>
      <c r="AE16" s="1410" t="s">
        <v>13</v>
      </c>
      <c r="AF16" s="1410" t="s">
        <v>24</v>
      </c>
      <c r="AG16" s="1410" t="str">
        <f>IF(X16&gt;=1,(AB16*12+AD16)-(X16*12+Z16)+1,"")</f>
        <v/>
      </c>
      <c r="AH16" s="1412" t="s">
        <v>38</v>
      </c>
      <c r="AI16" s="1414" t="str">
        <f>IFERROR(ROUNDDOWN(ROUND(L14*V16,0)*M14,0)*AG16,"")</f>
        <v/>
      </c>
      <c r="AJ16" s="1578" t="str">
        <f>IFERROR(ROUNDDOWN(ROUND((L14*(V16-AX14)),0)*M14,0)*AG16,"")</f>
        <v/>
      </c>
      <c r="AK16" s="1497" t="str">
        <f>IFERROR(ROUNDDOWN(ROUNDDOWN(ROUND(L14*VLOOKUP(K14,【参考】数式用!$A$5:$AB$27,MATCH("新加算Ⅳ",【参考】数式用!$B$4:$AB$4,0)+1,0),0)*M14,0)*AG16*0.5,0),"")</f>
        <v/>
      </c>
      <c r="AL16" s="1580"/>
      <c r="AM16" s="1582" t="str">
        <f>IFERROR(IF('別紙様式2-2（４・５月分）'!Q16="ベア加算","", IF(OR(U16="新加算Ⅰ",U16="新加算Ⅱ",U16="新加算Ⅲ",U16="新加算Ⅳ"),ROUNDDOWN(ROUND(L14*VLOOKUP(K14,【参考】数式用!$A$5:$I$27,MATCH("ベア加算",【参考】数式用!$B$4:$I$4,0)+1,0),0)*M14,0)*AG16,"")),"")</f>
        <v/>
      </c>
      <c r="AN16" s="1544"/>
      <c r="AO16" s="1546"/>
      <c r="AP16" s="1548"/>
      <c r="AQ16" s="1536"/>
      <c r="AR16" s="1550"/>
      <c r="AS16" s="1552"/>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東京都</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372"/>
      <c r="P17" s="1475"/>
      <c r="Q17" s="1508"/>
      <c r="R17" s="1427"/>
      <c r="S17" s="1398"/>
      <c r="T17" s="1463"/>
      <c r="U17" s="1571"/>
      <c r="V17" s="1467"/>
      <c r="W17" s="1469"/>
      <c r="X17" s="1539"/>
      <c r="Y17" s="1411"/>
      <c r="Z17" s="1539"/>
      <c r="AA17" s="1411"/>
      <c r="AB17" s="1539"/>
      <c r="AC17" s="1411"/>
      <c r="AD17" s="1539"/>
      <c r="AE17" s="1411"/>
      <c r="AF17" s="1411"/>
      <c r="AG17" s="1411"/>
      <c r="AH17" s="1413"/>
      <c r="AI17" s="1415"/>
      <c r="AJ17" s="1579"/>
      <c r="AK17" s="1498"/>
      <c r="AL17" s="1581"/>
      <c r="AM17" s="1583"/>
      <c r="AN17" s="1545"/>
      <c r="AO17" s="1547"/>
      <c r="AP17" s="1549"/>
      <c r="AQ17" s="1537"/>
      <c r="AR17" s="1551"/>
      <c r="AS17" s="1553"/>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ベア加算なし</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東京都</v>
      </c>
      <c r="BG17" s="1496"/>
      <c r="BH17" s="1496"/>
    </row>
    <row r="18" spans="1:60"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2210</v>
      </c>
      <c r="U18" s="1562" t="str">
        <f>IF('別紙様式2-3（６月以降分）'!U18="","",'別紙様式2-3（６月以降分）'!U18)</f>
        <v>新加算Ⅰ</v>
      </c>
      <c r="V18" s="1460">
        <f>IFERROR(VLOOKUP(K18,【参考】数式用!$A$5:$AB$27,MATCH(U18,【参考】数式用!$B$4:$AB$4,0)+1,0),"")</f>
        <v>0.245</v>
      </c>
      <c r="W18" s="1353" t="s">
        <v>19</v>
      </c>
      <c r="X18" s="1554">
        <f>'別紙様式2-3（６月以降分）'!X18</f>
        <v>6</v>
      </c>
      <c r="Y18" s="1357" t="s">
        <v>10</v>
      </c>
      <c r="Z18" s="1554">
        <f>'別紙様式2-3（６月以降分）'!Z18</f>
        <v>6</v>
      </c>
      <c r="AA18" s="1357" t="s">
        <v>45</v>
      </c>
      <c r="AB18" s="1554">
        <f>'別紙様式2-3（６月以降分）'!AB18</f>
        <v>7</v>
      </c>
      <c r="AC18" s="1357" t="s">
        <v>10</v>
      </c>
      <c r="AD18" s="1554">
        <f>'別紙様式2-3（６月以降分）'!AD18</f>
        <v>3</v>
      </c>
      <c r="AE18" s="1357" t="s">
        <v>13</v>
      </c>
      <c r="AF18" s="1357" t="s">
        <v>24</v>
      </c>
      <c r="AG18" s="1357">
        <f>IF(X18&gt;=1,(AB18*12+AD18)-(X18*12+Z18)+1,"")</f>
        <v>10</v>
      </c>
      <c r="AH18" s="1363" t="s">
        <v>38</v>
      </c>
      <c r="AI18" s="1484">
        <f>'別紙様式2-3（６月以降分）'!AI18</f>
        <v>2318190</v>
      </c>
      <c r="AJ18" s="1556">
        <f>'別紙様式2-3（６月以降分）'!AJ18</f>
        <v>974580</v>
      </c>
      <c r="AK18" s="1584">
        <f>'別紙様式2-3（６月以降分）'!AK18</f>
        <v>685995</v>
      </c>
      <c r="AL18" s="1560" t="str">
        <f>IF('別紙様式2-3（６月以降分）'!AL18="","",'別紙様式2-3（６月以降分）'!AL18)</f>
        <v/>
      </c>
      <c r="AM18" s="1572">
        <f>'別紙様式2-3（６月以降分）'!AM18</f>
        <v>0</v>
      </c>
      <c r="AN18" s="1574" t="str">
        <f>IF('別紙様式2-3（６月以降分）'!AN18="","",'別紙様式2-3（６月以降分）'!AN18)</f>
        <v/>
      </c>
      <c r="AO18" s="1406" t="str">
        <f>IF('別紙様式2-3（６月以降分）'!AO18="","",'別紙様式2-3（６月以降分）'!AO18)</f>
        <v>令和６年度中に満たす</v>
      </c>
      <c r="AP18" s="1505" t="str">
        <f>IF('別紙様式2-3（６月以降分）'!AP18="","",'別紙様式2-3（６月以降分）'!AP18)</f>
        <v/>
      </c>
      <c r="AQ18" s="1406" t="str">
        <f>IF('別紙様式2-3（６月以降分）'!AQ18="","",'別紙様式2-3（６月以降分）'!AQ18)</f>
        <v>令和６年度中に満たす</v>
      </c>
      <c r="AR18" s="1586" t="str">
        <f>IF('別紙様式2-3（６月以降分）'!AR18="","",'別紙様式2-3（６月以降分）'!AR18)</f>
        <v/>
      </c>
      <c r="AS18" s="156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処遇加算Ⅱ</v>
      </c>
      <c r="AX18" s="1510">
        <f>IF(SUM('別紙様式2-2（４・５月分）'!P17:P19)=0,"",SUM('別紙様式2-2（４・５月分）'!P17:P19))</f>
        <v>0.14200000000000002</v>
      </c>
      <c r="AY18" s="1592" t="str">
        <f>IFERROR(VLOOKUP(K18,【参考】数式用!$AJ$2:$AK$24,2,FALSE),"")</f>
        <v>訪問型サービス_総合事業</v>
      </c>
      <c r="AZ18" s="596"/>
      <c r="BE18" s="440"/>
      <c r="BF18" s="1496" t="str">
        <f>G18</f>
        <v>千代田区・中央区・港区</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563"/>
      <c r="V19" s="1461"/>
      <c r="W19" s="1354"/>
      <c r="X19" s="1555"/>
      <c r="Y19" s="1358"/>
      <c r="Z19" s="1555"/>
      <c r="AA19" s="1358"/>
      <c r="AB19" s="1555"/>
      <c r="AC19" s="1358"/>
      <c r="AD19" s="1555"/>
      <c r="AE19" s="1358"/>
      <c r="AF19" s="1358"/>
      <c r="AG19" s="1358"/>
      <c r="AH19" s="1364"/>
      <c r="AI19" s="1485"/>
      <c r="AJ19" s="1557"/>
      <c r="AK19" s="1585"/>
      <c r="AL19" s="1561"/>
      <c r="AM19" s="1573"/>
      <c r="AN19" s="1575"/>
      <c r="AO19" s="1407"/>
      <c r="AP19" s="1567"/>
      <c r="AQ19" s="1407"/>
      <c r="AR19" s="1587"/>
      <c r="AS19" s="1569"/>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特定加算Ⅱ</v>
      </c>
      <c r="AX19" s="1510"/>
      <c r="AY19" s="1592"/>
      <c r="AZ19" s="533"/>
      <c r="BE19" s="440"/>
      <c r="BF19" s="1496" t="str">
        <f>G18</f>
        <v>千代田区・中央区・港区</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2196</v>
      </c>
      <c r="Q20" s="1507" t="str">
        <f>IFERROR(VLOOKUP('別紙様式2-2（４・５月分）'!AR17,【参考】数式用!$AT$5:$AV$22,3,FALSE),"")</f>
        <v xml:space="preserve"> </v>
      </c>
      <c r="R20" s="1426" t="s">
        <v>2207</v>
      </c>
      <c r="S20" s="1397" t="str">
        <f>IFERROR(VLOOKUP(K18,【参考】数式用!$A$5:$AB$27,MATCH(Q20,【参考】数式用!$B$4:$AB$4,0)+1,0),"")</f>
        <v/>
      </c>
      <c r="T20" s="1462" t="s">
        <v>2285</v>
      </c>
      <c r="U20" s="1570"/>
      <c r="V20" s="1466" t="str">
        <f>IFERROR(VLOOKUP(K18,【参考】数式用!$A$5:$AB$27,MATCH(U20,【参考】数式用!$B$4:$AB$4,0)+1,0),"")</f>
        <v/>
      </c>
      <c r="W20" s="1468" t="s">
        <v>19</v>
      </c>
      <c r="X20" s="1538"/>
      <c r="Y20" s="1410" t="s">
        <v>10</v>
      </c>
      <c r="Z20" s="1538"/>
      <c r="AA20" s="1410" t="s">
        <v>45</v>
      </c>
      <c r="AB20" s="1538"/>
      <c r="AC20" s="1410" t="s">
        <v>10</v>
      </c>
      <c r="AD20" s="1538"/>
      <c r="AE20" s="1410" t="s">
        <v>13</v>
      </c>
      <c r="AF20" s="1410" t="s">
        <v>24</v>
      </c>
      <c r="AG20" s="1410" t="str">
        <f>IF(X20&gt;=1,(AB20*12+AD20)-(X20*12+Z20)+1,"")</f>
        <v/>
      </c>
      <c r="AH20" s="1412" t="s">
        <v>38</v>
      </c>
      <c r="AI20" s="1414" t="str">
        <f>IFERROR(ROUNDDOWN(ROUND(L18*V20,0)*M18,0)*AG20,"")</f>
        <v/>
      </c>
      <c r="AJ20" s="1578" t="str">
        <f>IFERROR(ROUNDDOWN(ROUND((L18*(V20-AX18)),0)*M18,0)*AG20,"")</f>
        <v/>
      </c>
      <c r="AK20" s="1497" t="str">
        <f>IFERROR(ROUNDDOWN(ROUNDDOWN(ROUND(L18*VLOOKUP(K18,【参考】数式用!$A$5:$AB$27,MATCH("新加算Ⅳ",【参考】数式用!$B$4:$AB$4,0)+1,0),0)*M18,0)*AG20*0.5,0),"")</f>
        <v/>
      </c>
      <c r="AL20" s="1580"/>
      <c r="AM20" s="1582" t="str">
        <f>IFERROR(IF('別紙様式2-2（４・５月分）'!Q19="ベア加算","", IF(OR(U20="新加算Ⅰ",U20="新加算Ⅱ",U20="新加算Ⅲ",U20="新加算Ⅳ"),ROUNDDOWN(ROUND(L18*VLOOKUP(K18,【参考】数式用!$A$5:$I$27,MATCH("ベア加算",【参考】数式用!$B$4:$I$4,0)+1,0),0)*M18,0)*AG20,"")),"")</f>
        <v/>
      </c>
      <c r="AN20" s="1544"/>
      <c r="AO20" s="1536"/>
      <c r="AP20" s="1548"/>
      <c r="AQ20" s="1536"/>
      <c r="AR20" s="1550"/>
      <c r="AS20" s="1552"/>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千代田区・中央区・港区</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508"/>
      <c r="R21" s="1427"/>
      <c r="S21" s="1398"/>
      <c r="T21" s="1463"/>
      <c r="U21" s="1571"/>
      <c r="V21" s="1467"/>
      <c r="W21" s="1469"/>
      <c r="X21" s="1539"/>
      <c r="Y21" s="1411"/>
      <c r="Z21" s="1539"/>
      <c r="AA21" s="1411"/>
      <c r="AB21" s="1539"/>
      <c r="AC21" s="1411"/>
      <c r="AD21" s="1539"/>
      <c r="AE21" s="1411"/>
      <c r="AF21" s="1411"/>
      <c r="AG21" s="1411"/>
      <c r="AH21" s="1413"/>
      <c r="AI21" s="1415"/>
      <c r="AJ21" s="1579"/>
      <c r="AK21" s="1498"/>
      <c r="AL21" s="1581"/>
      <c r="AM21" s="1583"/>
      <c r="AN21" s="1545"/>
      <c r="AO21" s="1537"/>
      <c r="AP21" s="1549"/>
      <c r="AQ21" s="1537"/>
      <c r="AR21" s="1551"/>
      <c r="AS21" s="1553"/>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ベア加算なし</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千代田区・中央区・港区</v>
      </c>
      <c r="BG21" s="1496"/>
      <c r="BH21" s="1496"/>
    </row>
    <row r="22" spans="1:60"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2210</v>
      </c>
      <c r="U22" s="1562" t="str">
        <f>IF('別紙様式2-3（６月以降分）'!U22="","",'別紙様式2-3（６月以降分）'!U22)</f>
        <v>新加算Ⅳ</v>
      </c>
      <c r="V22" s="1460">
        <f>IFERROR(VLOOKUP(K22,【参考】数式用!$A$5:$AB$27,MATCH(U22,【参考】数式用!$B$4:$AB$4,0)+1,0),"")</f>
        <v>6.3999999999999987E-2</v>
      </c>
      <c r="W22" s="1353" t="s">
        <v>19</v>
      </c>
      <c r="X22" s="1554">
        <f>'別紙様式2-3（６月以降分）'!X22</f>
        <v>6</v>
      </c>
      <c r="Y22" s="1357" t="s">
        <v>10</v>
      </c>
      <c r="Z22" s="1554">
        <f>'別紙様式2-3（６月以降分）'!Z22</f>
        <v>6</v>
      </c>
      <c r="AA22" s="1357" t="s">
        <v>45</v>
      </c>
      <c r="AB22" s="1554">
        <f>'別紙様式2-3（６月以降分）'!AB22</f>
        <v>7</v>
      </c>
      <c r="AC22" s="1357" t="s">
        <v>10</v>
      </c>
      <c r="AD22" s="1554">
        <f>'別紙様式2-3（６月以降分）'!AD22</f>
        <v>3</v>
      </c>
      <c r="AE22" s="1357" t="s">
        <v>2188</v>
      </c>
      <c r="AF22" s="1357" t="s">
        <v>24</v>
      </c>
      <c r="AG22" s="1357">
        <f>IF(X22&gt;=1,(AB22*12+AD22)-(X22*12+Z22)+1,"")</f>
        <v>10</v>
      </c>
      <c r="AH22" s="1363" t="s">
        <v>38</v>
      </c>
      <c r="AI22" s="1484">
        <f>'別紙様式2-3（６月以降分）'!AI22</f>
        <v>2127680</v>
      </c>
      <c r="AJ22" s="1556">
        <f>'別紙様式2-3（６月以降分）'!AJ22</f>
        <v>332450</v>
      </c>
      <c r="AK22" s="1584">
        <f>'別紙様式2-3（６月以降分）'!AK22</f>
        <v>1063840</v>
      </c>
      <c r="AL22" s="1560" t="str">
        <f>IF('別紙様式2-3（６月以降分）'!AL22="","",'別紙様式2-3（６月以降分）'!AL22)</f>
        <v/>
      </c>
      <c r="AM22" s="1572">
        <f>'別紙様式2-3（６月以降分）'!AM22</f>
        <v>0</v>
      </c>
      <c r="AN22" s="1574" t="str">
        <f>IF('別紙様式2-3（６月以降分）'!AN22="","",'別紙様式2-3（６月以降分）'!AN22)</f>
        <v/>
      </c>
      <c r="AO22" s="1406" t="str">
        <f>IF('別紙様式2-3（６月以降分）'!AO22="","",'別紙様式2-3（６月以降分）'!AO22)</f>
        <v>○</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処遇加算Ⅱ</v>
      </c>
      <c r="AX22" s="1510">
        <f>IF(SUM('別紙様式2-2（４・５月分）'!P20:P22)=0,"",SUM('別紙様式2-2（４・５月分）'!P20:P22))</f>
        <v>5.3999999999999992E-2</v>
      </c>
      <c r="AY22" s="1593" t="str">
        <f>IFERROR(VLOOKUP(K22,【参考】数式用!$AJ$2:$AK$24,2,FALSE),"")</f>
        <v>通所介護</v>
      </c>
      <c r="AZ22" s="596"/>
      <c r="BE22" s="440"/>
      <c r="BF22" s="1496" t="str">
        <f>G22</f>
        <v>東京都</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563"/>
      <c r="V23" s="1461"/>
      <c r="W23" s="1354"/>
      <c r="X23" s="1555"/>
      <c r="Y23" s="1358"/>
      <c r="Z23" s="1555"/>
      <c r="AA23" s="1358"/>
      <c r="AB23" s="1555"/>
      <c r="AC23" s="1358"/>
      <c r="AD23" s="1555"/>
      <c r="AE23" s="1358"/>
      <c r="AF23" s="1358"/>
      <c r="AG23" s="1358"/>
      <c r="AH23" s="1364"/>
      <c r="AI23" s="1485"/>
      <c r="AJ23" s="1557"/>
      <c r="AK23" s="1585"/>
      <c r="AL23" s="1561"/>
      <c r="AM23" s="1573"/>
      <c r="AN23" s="1575"/>
      <c r="AO23" s="1407"/>
      <c r="AP23" s="1567"/>
      <c r="AQ23" s="1407"/>
      <c r="AR23" s="1587"/>
      <c r="AS23" s="1569"/>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特定加算なし</v>
      </c>
      <c r="AX23" s="1510"/>
      <c r="AY23" s="1592"/>
      <c r="AZ23" s="533"/>
      <c r="BE23" s="440"/>
      <c r="BF23" s="1496" t="str">
        <f>G22</f>
        <v>東京都</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2196</v>
      </c>
      <c r="Q24" s="1507" t="str">
        <f>IFERROR(VLOOKUP('別紙様式2-2（４・５月分）'!AR20,【参考】数式用!$AT$5:$AV$22,3,FALSE),"")</f>
        <v xml:space="preserve"> </v>
      </c>
      <c r="R24" s="1391" t="s">
        <v>2207</v>
      </c>
      <c r="S24" s="1399" t="str">
        <f>IFERROR(VLOOKUP(K22,【参考】数式用!$A$5:$AB$27,MATCH(Q24,【参考】数式用!$B$4:$AB$4,0)+1,0),"")</f>
        <v/>
      </c>
      <c r="T24" s="1462" t="s">
        <v>2285</v>
      </c>
      <c r="U24" s="1570"/>
      <c r="V24" s="1466" t="str">
        <f>IFERROR(VLOOKUP(K22,【参考】数式用!$A$5:$AB$27,MATCH(U24,【参考】数式用!$B$4:$AB$4,0)+1,0),"")</f>
        <v/>
      </c>
      <c r="W24" s="1468" t="s">
        <v>19</v>
      </c>
      <c r="X24" s="1538"/>
      <c r="Y24" s="1410" t="s">
        <v>10</v>
      </c>
      <c r="Z24" s="1538"/>
      <c r="AA24" s="1410" t="s">
        <v>45</v>
      </c>
      <c r="AB24" s="1538"/>
      <c r="AC24" s="1410" t="s">
        <v>10</v>
      </c>
      <c r="AD24" s="1538"/>
      <c r="AE24" s="1410" t="s">
        <v>2188</v>
      </c>
      <c r="AF24" s="1410" t="s">
        <v>24</v>
      </c>
      <c r="AG24" s="1410" t="str">
        <f>IF(X24&gt;=1,(AB24*12+AD24)-(X24*12+Z24)+1,"")</f>
        <v/>
      </c>
      <c r="AH24" s="1412" t="s">
        <v>38</v>
      </c>
      <c r="AI24" s="1414" t="str">
        <f>IFERROR(ROUNDDOWN(ROUND(L22*V24,0)*M22,0)*AG24,"")</f>
        <v/>
      </c>
      <c r="AJ24" s="1578" t="str">
        <f>IFERROR(ROUNDDOWN(ROUND((L22*(V24-AX22)),0)*M22,0)*AG24,"")</f>
        <v/>
      </c>
      <c r="AK24" s="1497" t="str">
        <f>IFERROR(ROUNDDOWN(ROUNDDOWN(ROUND(L22*VLOOKUP(K22,【参考】数式用!$A$5:$AB$27,MATCH("新加算Ⅳ",【参考】数式用!$B$4:$AB$4,0)+1,0),0)*M22,0)*AG24*0.5,0),"")</f>
        <v/>
      </c>
      <c r="AL24" s="1580"/>
      <c r="AM24" s="1582" t="str">
        <f>IFERROR(IF('別紙様式2-2（４・５月分）'!Q22="ベア加算","", IF(OR(U24="新加算Ⅰ",U24="新加算Ⅱ",U24="新加算Ⅲ",U24="新加算Ⅳ"),ROUNDDOWN(ROUND(L22*VLOOKUP(K22,【参考】数式用!$A$5:$I$27,MATCH("ベア加算",【参考】数式用!$B$4:$I$4,0)+1,0),0)*M22,0)*AG24,"")),"")</f>
        <v/>
      </c>
      <c r="AN24" s="1544"/>
      <c r="AO24" s="1536"/>
      <c r="AP24" s="1548"/>
      <c r="AQ24" s="1536"/>
      <c r="AR24" s="1550"/>
      <c r="AS24" s="1552"/>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東京都</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508"/>
      <c r="R25" s="1392"/>
      <c r="S25" s="1398"/>
      <c r="T25" s="1463"/>
      <c r="U25" s="1571"/>
      <c r="V25" s="1467"/>
      <c r="W25" s="1469"/>
      <c r="X25" s="1539"/>
      <c r="Y25" s="1411"/>
      <c r="Z25" s="1539"/>
      <c r="AA25" s="1411"/>
      <c r="AB25" s="1539"/>
      <c r="AC25" s="1411"/>
      <c r="AD25" s="1539"/>
      <c r="AE25" s="1411"/>
      <c r="AF25" s="1411"/>
      <c r="AG25" s="1411"/>
      <c r="AH25" s="1413"/>
      <c r="AI25" s="1415"/>
      <c r="AJ25" s="1579"/>
      <c r="AK25" s="1498"/>
      <c r="AL25" s="1581"/>
      <c r="AM25" s="1583"/>
      <c r="AN25" s="1545"/>
      <c r="AO25" s="1537"/>
      <c r="AP25" s="1549"/>
      <c r="AQ25" s="1537"/>
      <c r="AR25" s="1551"/>
      <c r="AS25" s="1553"/>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ベア加算</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東京都</v>
      </c>
      <c r="BG25" s="1496"/>
      <c r="BH25" s="1496"/>
    </row>
    <row r="26" spans="1:60"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2210</v>
      </c>
      <c r="U26" s="1562" t="str">
        <f>IF('別紙様式2-3（６月以降分）'!U26="","",'別紙様式2-3（６月以降分）'!U26)</f>
        <v>新加算Ⅴ（14）</v>
      </c>
      <c r="V26" s="1460">
        <f>IFERROR(VLOOKUP(K26,【参考】数式用!$A$5:$AB$27,MATCH(U26,【参考】数式用!$B$4:$AB$4,0)+1,0),"")</f>
        <v>5.6000000000000001E-2</v>
      </c>
      <c r="W26" s="1353" t="s">
        <v>19</v>
      </c>
      <c r="X26" s="1554">
        <f>'別紙様式2-3（６月以降分）'!X26</f>
        <v>6</v>
      </c>
      <c r="Y26" s="1357" t="s">
        <v>10</v>
      </c>
      <c r="Z26" s="1554">
        <f>'別紙様式2-3（６月以降分）'!Z26</f>
        <v>6</v>
      </c>
      <c r="AA26" s="1357" t="s">
        <v>45</v>
      </c>
      <c r="AB26" s="1554">
        <f>'別紙様式2-3（６月以降分）'!AB26</f>
        <v>6</v>
      </c>
      <c r="AC26" s="1357" t="s">
        <v>10</v>
      </c>
      <c r="AD26" s="1554">
        <f>'別紙様式2-3（６月以降分）'!AD26</f>
        <v>9</v>
      </c>
      <c r="AE26" s="1357" t="s">
        <v>2188</v>
      </c>
      <c r="AF26" s="1357" t="s">
        <v>24</v>
      </c>
      <c r="AG26" s="1357">
        <f>IF(X26&gt;=1,(AB26*12+AD26)-(X26*12+Z26)+1,"")</f>
        <v>4</v>
      </c>
      <c r="AH26" s="1363" t="s">
        <v>38</v>
      </c>
      <c r="AI26" s="1484">
        <f>'別紙様式2-3（６月以降分）'!AI26</f>
        <v>857808</v>
      </c>
      <c r="AJ26" s="1556">
        <f>'別紙様式2-3（６月以降分）'!AJ26</f>
        <v>229768</v>
      </c>
      <c r="AK26" s="1584">
        <f>'別紙様式2-3（６月以降分）'!AK26</f>
        <v>811854</v>
      </c>
      <c r="AL26" s="1560" t="str">
        <f>IF('別紙様式2-3（６月以降分）'!AL26="","",'別紙様式2-3（６月以降分）'!AL26)</f>
        <v/>
      </c>
      <c r="AM26" s="1572">
        <f>'別紙様式2-3（６月以降分）'!AM26</f>
        <v>0</v>
      </c>
      <c r="AN26" s="1574" t="str">
        <f>IF('別紙様式2-3（６月以降分）'!AN26="","",'別紙様式2-3（６月以降分）'!AN26)</f>
        <v/>
      </c>
      <c r="AO26" s="1406" t="str">
        <f>IF('別紙様式2-3（６月以降分）'!AO26="","",'別紙様式2-3（６月以降分）'!AO26)</f>
        <v/>
      </c>
      <c r="AP26" s="1505" t="str">
        <f>IF('別紙様式2-3（６月以降分）'!AP26="","",'別紙様式2-3（６月以降分）'!AP26)</f>
        <v>○</v>
      </c>
      <c r="AQ26" s="1406" t="str">
        <f>IF('別紙様式2-3（６月以降分）'!AQ26="","",'別紙様式2-3（６月以降分）'!AQ26)</f>
        <v/>
      </c>
      <c r="AR26" s="1586" t="str">
        <f>IF('別紙様式2-3（６月以降分）'!AR26="","",'別紙様式2-3（６月以降分）'!AR26)</f>
        <v/>
      </c>
      <c r="AS26" s="156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処遇加算Ⅲ</v>
      </c>
      <c r="AX26" s="1510">
        <f>IF(SUM('別紙様式2-2（４・５月分）'!P23:P25)=0,"",SUM('別紙様式2-2（４・５月分）'!P23:P25))</f>
        <v>4.1000000000000002E-2</v>
      </c>
      <c r="AY26" s="1592" t="str">
        <f>IFERROR(VLOOKUP(K26,【参考】数式用!$AJ$2:$AK$24,2,FALSE),"")</f>
        <v>介護予防_小規模多機能型居宅介護</v>
      </c>
      <c r="AZ26" s="596"/>
      <c r="BE26" s="440"/>
      <c r="BF26" s="1496" t="str">
        <f>G26</f>
        <v>中央区</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563"/>
      <c r="V27" s="1461"/>
      <c r="W27" s="1354"/>
      <c r="X27" s="1555"/>
      <c r="Y27" s="1358"/>
      <c r="Z27" s="1555"/>
      <c r="AA27" s="1358"/>
      <c r="AB27" s="1555"/>
      <c r="AC27" s="1358"/>
      <c r="AD27" s="1555"/>
      <c r="AE27" s="1358"/>
      <c r="AF27" s="1358"/>
      <c r="AG27" s="1358"/>
      <c r="AH27" s="1364"/>
      <c r="AI27" s="1485"/>
      <c r="AJ27" s="1557"/>
      <c r="AK27" s="1585"/>
      <c r="AL27" s="1561"/>
      <c r="AM27" s="1573"/>
      <c r="AN27" s="1575"/>
      <c r="AO27" s="1407"/>
      <c r="AP27" s="1567"/>
      <c r="AQ27" s="1407"/>
      <c r="AR27" s="1587"/>
      <c r="AS27" s="1569"/>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特定加算なし</v>
      </c>
      <c r="AX27" s="1510"/>
      <c r="AY27" s="1592"/>
      <c r="AZ27" s="533"/>
      <c r="BE27" s="440"/>
      <c r="BF27" s="1496" t="str">
        <f>G26</f>
        <v>中央区</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2285</v>
      </c>
      <c r="U28" s="1570" t="s">
        <v>2116</v>
      </c>
      <c r="V28" s="1466">
        <f>IFERROR(VLOOKUP(K26,【参考】数式用!$A$5:$AB$27,MATCH(U28,【参考】数式用!$B$4:$AB$4,0)+1,0),"")</f>
        <v>0.106</v>
      </c>
      <c r="W28" s="1468" t="s">
        <v>19</v>
      </c>
      <c r="X28" s="1538">
        <v>6</v>
      </c>
      <c r="Y28" s="1410" t="s">
        <v>10</v>
      </c>
      <c r="Z28" s="1538">
        <v>10</v>
      </c>
      <c r="AA28" s="1410" t="s">
        <v>45</v>
      </c>
      <c r="AB28" s="1538">
        <v>7</v>
      </c>
      <c r="AC28" s="1410" t="s">
        <v>10</v>
      </c>
      <c r="AD28" s="1538">
        <v>3</v>
      </c>
      <c r="AE28" s="1410" t="s">
        <v>2188</v>
      </c>
      <c r="AF28" s="1410" t="s">
        <v>24</v>
      </c>
      <c r="AG28" s="1410">
        <f>IF(X28&gt;=1,(AB28*12+AD28)-(X28*12+Z28)+1,"")</f>
        <v>6</v>
      </c>
      <c r="AH28" s="1412" t="s">
        <v>38</v>
      </c>
      <c r="AI28" s="1414">
        <f>IFERROR(ROUNDDOWN(ROUND(L26*V28,0)*M26,0)*AG28,"")</f>
        <v>2435562</v>
      </c>
      <c r="AJ28" s="1578">
        <f>IFERROR(ROUNDDOWN(ROUND((L26*(V28-AX26)),0)*M26,0)*AG28,"")</f>
        <v>1493502</v>
      </c>
      <c r="AK28" s="1497">
        <f>IFERROR(ROUNDDOWN(ROUNDDOWN(ROUND(L26*VLOOKUP(K26,【参考】数式用!$A$5:$AB$27,MATCH("新加算Ⅳ",【参考】数式用!$B$4:$AB$4,0)+1,0),0)*M26,0)*AG28*0.5,0),"")</f>
        <v>1217781</v>
      </c>
      <c r="AL28" s="1580"/>
      <c r="AM28" s="1582">
        <f>IFERROR(IF('別紙様式2-2（４・５月分）'!Q25="ベア加算","", IF(OR(U28="新加算Ⅰ",U28="新加算Ⅱ",U28="新加算Ⅲ",U28="新加算Ⅳ"),ROUNDDOWN(ROUND(L26*VLOOKUP(K26,【参考】数式用!$A$5:$I$27,MATCH("ベア加算",【参考】数式用!$B$4:$I$4,0)+1,0),0)*M26,0)*AG28,"")),"")</f>
        <v>390606</v>
      </c>
      <c r="AN28" s="1544" t="s">
        <v>165</v>
      </c>
      <c r="AO28" s="1536" t="s">
        <v>2197</v>
      </c>
      <c r="AP28" s="1548"/>
      <c r="AQ28" s="1536"/>
      <c r="AR28" s="1550"/>
      <c r="AS28" s="1552"/>
      <c r="AT28" s="1535"/>
      <c r="AU28" s="554"/>
      <c r="AV28" s="1496" t="str">
        <f>IF(AND(AB26&lt;&gt;7,AD26&lt;&gt;3),"V列に色付け","")</f>
        <v>V列に色付け</v>
      </c>
      <c r="AW28" s="1521"/>
      <c r="AX28" s="1510"/>
      <c r="AY28" s="683"/>
      <c r="AZ28" s="1324" t="str">
        <f>IF(AM28&lt;&gt;"",IF(AN28="○","入力済","未入力"),"")</f>
        <v>入力済</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中央区</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571"/>
      <c r="V29" s="1467"/>
      <c r="W29" s="1469"/>
      <c r="X29" s="1539"/>
      <c r="Y29" s="1411"/>
      <c r="Z29" s="1539"/>
      <c r="AA29" s="1411"/>
      <c r="AB29" s="1539"/>
      <c r="AC29" s="1411"/>
      <c r="AD29" s="1539"/>
      <c r="AE29" s="1411"/>
      <c r="AF29" s="1411"/>
      <c r="AG29" s="1411"/>
      <c r="AH29" s="1413"/>
      <c r="AI29" s="1415"/>
      <c r="AJ29" s="1579"/>
      <c r="AK29" s="1498"/>
      <c r="AL29" s="1581"/>
      <c r="AM29" s="1583"/>
      <c r="AN29" s="1545"/>
      <c r="AO29" s="1537"/>
      <c r="AP29" s="1549"/>
      <c r="AQ29" s="1537"/>
      <c r="AR29" s="1551"/>
      <c r="AS29" s="1553"/>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ベア加算なし</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中央区</v>
      </c>
      <c r="BG29" s="1496"/>
      <c r="BH29" s="1496"/>
    </row>
    <row r="30" spans="1:60"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2210</v>
      </c>
      <c r="U30" s="1562" t="str">
        <f>IF('別紙様式2-3（６月以降分）'!U30="","",'別紙様式2-3（６月以降分）'!U30)</f>
        <v/>
      </c>
      <c r="V30" s="1460" t="str">
        <f>IFERROR(VLOOKUP(K30,【参考】数式用!$A$5:$AB$27,MATCH(U30,【参考】数式用!$B$4:$AB$4,0)+1,0),"")</f>
        <v/>
      </c>
      <c r="W30" s="1353" t="s">
        <v>19</v>
      </c>
      <c r="X30" s="1554">
        <f>'別紙様式2-3（６月以降分）'!X30</f>
        <v>6</v>
      </c>
      <c r="Y30" s="1357" t="s">
        <v>10</v>
      </c>
      <c r="Z30" s="1554">
        <f>'別紙様式2-3（６月以降分）'!Z30</f>
        <v>6</v>
      </c>
      <c r="AA30" s="1357" t="s">
        <v>45</v>
      </c>
      <c r="AB30" s="1554">
        <f>'別紙様式2-3（６月以降分）'!AB30</f>
        <v>7</v>
      </c>
      <c r="AC30" s="1357" t="s">
        <v>10</v>
      </c>
      <c r="AD30" s="1554">
        <f>'別紙様式2-3（６月以降分）'!AD30</f>
        <v>3</v>
      </c>
      <c r="AE30" s="1357" t="s">
        <v>2188</v>
      </c>
      <c r="AF30" s="1357" t="s">
        <v>24</v>
      </c>
      <c r="AG30" s="1357">
        <f>IF(X30&gt;=1,(AB30*12+AD30)-(X30*12+Z30)+1,"")</f>
        <v>10</v>
      </c>
      <c r="AH30" s="1363" t="s">
        <v>38</v>
      </c>
      <c r="AI30" s="1484" t="str">
        <f>'別紙様式2-3（６月以降分）'!AI30</f>
        <v/>
      </c>
      <c r="AJ30" s="1556" t="str">
        <f>'別紙様式2-3（６月以降分）'!AJ30</f>
        <v/>
      </c>
      <c r="AK30" s="1584">
        <f>'別紙様式2-3（６月以降分）'!AK30</f>
        <v>0</v>
      </c>
      <c r="AL30" s="1560" t="str">
        <f>IF('別紙様式2-3（６月以降分）'!AL30="","",'別紙様式2-3（６月以降分）'!AL30)</f>
        <v/>
      </c>
      <c r="AM30" s="1572">
        <f>'別紙様式2-3（６月以降分）'!AM30</f>
        <v>0</v>
      </c>
      <c r="AN30" s="1574"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処遇加算Ⅱ</v>
      </c>
      <c r="AX30" s="1510">
        <f>IF(SUM('別紙様式2-2（４・５月分）'!P26:P28)=0,"",SUM('別紙様式2-2（４・５月分）'!P26:P28))</f>
        <v>0.06</v>
      </c>
      <c r="AY30" s="1593" t="str">
        <f>IFERROR(VLOOKUP(K30,【参考】数式用!$AJ$2:$AK$24,2,FALSE),"")</f>
        <v>介護老人福祉施設</v>
      </c>
      <c r="AZ30" s="596"/>
      <c r="BE30" s="440"/>
      <c r="BF30" s="1496" t="str">
        <f>G30</f>
        <v>千葉県</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3"/>
      <c r="V31" s="1461"/>
      <c r="W31" s="1354"/>
      <c r="X31" s="1555"/>
      <c r="Y31" s="1358"/>
      <c r="Z31" s="1555"/>
      <c r="AA31" s="1358"/>
      <c r="AB31" s="1555"/>
      <c r="AC31" s="1358"/>
      <c r="AD31" s="1555"/>
      <c r="AE31" s="1358"/>
      <c r="AF31" s="1358"/>
      <c r="AG31" s="1358"/>
      <c r="AH31" s="1364"/>
      <c r="AI31" s="1485"/>
      <c r="AJ31" s="1557"/>
      <c r="AK31" s="1585"/>
      <c r="AL31" s="1561"/>
      <c r="AM31" s="1573"/>
      <c r="AN31" s="1575"/>
      <c r="AO31" s="1407"/>
      <c r="AP31" s="1567"/>
      <c r="AQ31" s="1407"/>
      <c r="AR31" s="1587"/>
      <c r="AS31" s="1569"/>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千葉県</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2287</v>
      </c>
      <c r="Q32" s="1507" t="str">
        <f>IFERROR(VLOOKUP('別紙様式2-2（４・５月分）'!AR26,【参考】数式用!$AT$5:$AV$22,3,FALSE),"")</f>
        <v/>
      </c>
      <c r="R32" s="1391" t="s">
        <v>2207</v>
      </c>
      <c r="S32" s="1399" t="str">
        <f>IFERROR(VLOOKUP(K30,【参考】数式用!$A$5:$AB$27,MATCH(Q32,【参考】数式用!$B$4:$AB$4,0)+1,0),"")</f>
        <v/>
      </c>
      <c r="T32" s="1462" t="s">
        <v>2285</v>
      </c>
      <c r="U32" s="1570"/>
      <c r="V32" s="1466" t="str">
        <f>IFERROR(VLOOKUP(K30,【参考】数式用!$A$5:$AB$27,MATCH(U32,【参考】数式用!$B$4:$AB$4,0)+1,0),"")</f>
        <v/>
      </c>
      <c r="W32" s="1468" t="s">
        <v>19</v>
      </c>
      <c r="X32" s="1538"/>
      <c r="Y32" s="1410" t="s">
        <v>10</v>
      </c>
      <c r="Z32" s="1538"/>
      <c r="AA32" s="1410" t="s">
        <v>45</v>
      </c>
      <c r="AB32" s="1538"/>
      <c r="AC32" s="1410" t="s">
        <v>10</v>
      </c>
      <c r="AD32" s="1538"/>
      <c r="AE32" s="1410" t="s">
        <v>2188</v>
      </c>
      <c r="AF32" s="1410" t="s">
        <v>24</v>
      </c>
      <c r="AG32" s="1410" t="str">
        <f>IF(X32&gt;=1,(AB32*12+AD32)-(X32*12+Z32)+1,"")</f>
        <v/>
      </c>
      <c r="AH32" s="1412" t="s">
        <v>38</v>
      </c>
      <c r="AI32" s="1414" t="str">
        <f t="shared" ref="AI32" si="11">IFERROR(ROUNDDOWN(ROUND(L30*V32,0)*M30,0)*AG32,"")</f>
        <v/>
      </c>
      <c r="AJ32" s="1578" t="str">
        <f>IFERROR(ROUNDDOWN(ROUND((L30*(V32-AX30)),0)*M30,0)*AG32,"")</f>
        <v/>
      </c>
      <c r="AK32" s="1497" t="str">
        <f>IFERROR(ROUNDDOWN(ROUNDDOWN(ROUND(L30*VLOOKUP(K30,【参考】数式用!$A$5:$AB$27,MATCH("新加算Ⅳ",【参考】数式用!$B$4:$AB$4,0)+1,0),0)*M30,0)*AG32*0.5,0),"")</f>
        <v/>
      </c>
      <c r="AL32" s="1580"/>
      <c r="AM32" s="1588" t="str">
        <f>IFERROR(IF('別紙様式2-2（４・５月分）'!Q28="ベア加算","", IF(OR(U32="新加算Ⅰ",U32="新加算Ⅱ",U32="新加算Ⅲ",U32="新加算Ⅳ"),ROUNDDOWN(ROUND(L30*VLOOKUP(K30,【参考】数式用!$A$5:$I$27,MATCH("ベア加算",【参考】数式用!$B$4:$I$4,0)+1,0),0)*M30,0)*AG32,"")),"")</f>
        <v/>
      </c>
      <c r="AN32" s="1544"/>
      <c r="AO32" s="1536"/>
      <c r="AP32" s="1548"/>
      <c r="AQ32" s="1536"/>
      <c r="AR32" s="1550"/>
      <c r="AS32" s="1552"/>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千葉県</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71"/>
      <c r="V33" s="1467"/>
      <c r="W33" s="1469"/>
      <c r="X33" s="1539"/>
      <c r="Y33" s="1411"/>
      <c r="Z33" s="1539"/>
      <c r="AA33" s="1411"/>
      <c r="AB33" s="1539"/>
      <c r="AC33" s="1411"/>
      <c r="AD33" s="1539"/>
      <c r="AE33" s="1411"/>
      <c r="AF33" s="1411"/>
      <c r="AG33" s="1411"/>
      <c r="AH33" s="1413"/>
      <c r="AI33" s="1415"/>
      <c r="AJ33" s="1579"/>
      <c r="AK33" s="1498"/>
      <c r="AL33" s="1581"/>
      <c r="AM33" s="1589"/>
      <c r="AN33" s="1545"/>
      <c r="AO33" s="1537"/>
      <c r="AP33" s="1549"/>
      <c r="AQ33" s="1537"/>
      <c r="AR33" s="1551"/>
      <c r="AS33" s="1553"/>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千葉県</v>
      </c>
      <c r="BG33" s="1496"/>
      <c r="BH33" s="1496"/>
    </row>
    <row r="34" spans="1:60"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2210</v>
      </c>
      <c r="U34" s="1562" t="str">
        <f>IF('別紙様式2-3（６月以降分）'!U34="","",'別紙様式2-3（６月以降分）'!U34)</f>
        <v>新加算Ⅱ</v>
      </c>
      <c r="V34" s="1460">
        <f>IFERROR(VLOOKUP(K34,【参考】数式用!$A$5:$AB$27,MATCH(U34,【参考】数式用!$B$4:$AB$4,0)+1,0),"")</f>
        <v>0.13600000000000001</v>
      </c>
      <c r="W34" s="1353" t="s">
        <v>19</v>
      </c>
      <c r="X34" s="1554">
        <f>'別紙様式2-3（６月以降分）'!X34</f>
        <v>6</v>
      </c>
      <c r="Y34" s="1357" t="s">
        <v>10</v>
      </c>
      <c r="Z34" s="1554">
        <f>'別紙様式2-3（６月以降分）'!Z34</f>
        <v>6</v>
      </c>
      <c r="AA34" s="1357" t="s">
        <v>45</v>
      </c>
      <c r="AB34" s="1554">
        <f>'別紙様式2-3（６月以降分）'!AB34</f>
        <v>7</v>
      </c>
      <c r="AC34" s="1357" t="s">
        <v>10</v>
      </c>
      <c r="AD34" s="1554">
        <f>'別紙様式2-3（６月以降分）'!AD34</f>
        <v>3</v>
      </c>
      <c r="AE34" s="1357" t="s">
        <v>2188</v>
      </c>
      <c r="AF34" s="1357" t="s">
        <v>24</v>
      </c>
      <c r="AG34" s="1357">
        <f>IF(X34&gt;=1,(AB34*12+AD34)-(X34*12+Z34)+1,"")</f>
        <v>10</v>
      </c>
      <c r="AH34" s="1363" t="s">
        <v>38</v>
      </c>
      <c r="AI34" s="1484">
        <f>'別紙様式2-3（６月以降分）'!AI34</f>
        <v>28105480</v>
      </c>
      <c r="AJ34" s="1556">
        <f>'別紙様式2-3（６月以降分）'!AJ34</f>
        <v>10952870</v>
      </c>
      <c r="AK34" s="1584">
        <f>'別紙様式2-3（６月以降分）'!AK34</f>
        <v>9299610</v>
      </c>
      <c r="AL34" s="1560" t="str">
        <f>IF('別紙様式2-3（６月以降分）'!AL34="","",'別紙様式2-3（６月以降分）'!AL34)</f>
        <v/>
      </c>
      <c r="AM34" s="1572">
        <f>'別紙様式2-3（６月以降分）'!AM34</f>
        <v>3306520</v>
      </c>
      <c r="AN34" s="1574" t="str">
        <f>IF('別紙様式2-3（６月以降分）'!AN34="","",'別紙様式2-3（６月以降分）'!AN34)</f>
        <v>○</v>
      </c>
      <c r="AO34" s="1406" t="str">
        <f>IF('別紙様式2-3（６月以降分）'!AO34="","",'別紙様式2-3（６月以降分）'!AO34)</f>
        <v>○</v>
      </c>
      <c r="AP34" s="1505" t="str">
        <f>IF('別紙様式2-3（６月以降分）'!AP34="","",'別紙様式2-3（６月以降分）'!AP34)</f>
        <v/>
      </c>
      <c r="AQ34" s="1406" t="str">
        <f>IF('別紙様式2-3（６月以降分）'!AQ34="","",'別紙様式2-3（６月以降分）'!AQ34)</f>
        <v>令和６年度中に満たす</v>
      </c>
      <c r="AR34" s="1586">
        <f>IF('別紙様式2-3（６月以降分）'!AR34="","",'別紙様式2-3（６月以降分）'!AR34)</f>
        <v>1</v>
      </c>
      <c r="AS34" s="156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処遇加算Ⅱ</v>
      </c>
      <c r="AX34" s="1510">
        <f>IF(SUM('別紙様式2-2（４・５月分）'!P29:P31)=0,"",SUM('別紙様式2-2（４・５月分）'!P29:P31))</f>
        <v>8.299999999999999E-2</v>
      </c>
      <c r="AY34" s="1592" t="str">
        <f>IFERROR(VLOOKUP(K34,【参考】数式用!$AJ$2:$AK$24,2,FALSE),"")</f>
        <v>介護老人福祉施設</v>
      </c>
      <c r="AZ34" s="596"/>
      <c r="BE34" s="440"/>
      <c r="BF34" s="1496" t="str">
        <f>G34</f>
        <v>千葉県</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特定加算Ⅱ</v>
      </c>
      <c r="O35" s="1370"/>
      <c r="P35" s="1386"/>
      <c r="Q35" s="1387"/>
      <c r="R35" s="1388"/>
      <c r="S35" s="1396"/>
      <c r="T35" s="1417"/>
      <c r="U35" s="1563"/>
      <c r="V35" s="1461"/>
      <c r="W35" s="1354"/>
      <c r="X35" s="1555"/>
      <c r="Y35" s="1358"/>
      <c r="Z35" s="1555"/>
      <c r="AA35" s="1358"/>
      <c r="AB35" s="1555"/>
      <c r="AC35" s="1358"/>
      <c r="AD35" s="1555"/>
      <c r="AE35" s="1358"/>
      <c r="AF35" s="1358"/>
      <c r="AG35" s="1358"/>
      <c r="AH35" s="1364"/>
      <c r="AI35" s="1485"/>
      <c r="AJ35" s="1557"/>
      <c r="AK35" s="1585"/>
      <c r="AL35" s="1561"/>
      <c r="AM35" s="1573"/>
      <c r="AN35" s="1575"/>
      <c r="AO35" s="1407"/>
      <c r="AP35" s="1567"/>
      <c r="AQ35" s="1407"/>
      <c r="AR35" s="1587"/>
      <c r="AS35" s="1569"/>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特定加算Ⅱ</v>
      </c>
      <c r="AX35" s="1510"/>
      <c r="AY35" s="1592"/>
      <c r="AZ35" s="533"/>
      <c r="BE35" s="440"/>
      <c r="BF35" s="1496" t="str">
        <f>G34</f>
        <v>千葉県</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2196</v>
      </c>
      <c r="Q36" s="1507" t="str">
        <f>IFERROR(VLOOKUP('別紙様式2-2（４・５月分）'!AR29,【参考】数式用!$AT$5:$AV$22,3,FALSE),"")</f>
        <v xml:space="preserve"> </v>
      </c>
      <c r="R36" s="1391" t="s">
        <v>2207</v>
      </c>
      <c r="S36" s="1397" t="str">
        <f>IFERROR(VLOOKUP(K34,【参考】数式用!$A$5:$AB$27,MATCH(Q36,【参考】数式用!$B$4:$AB$4,0)+1,0),"")</f>
        <v/>
      </c>
      <c r="T36" s="1462" t="s">
        <v>2285</v>
      </c>
      <c r="U36" s="1570"/>
      <c r="V36" s="1466" t="str">
        <f>IFERROR(VLOOKUP(K34,【参考】数式用!$A$5:$AB$27,MATCH(U36,【参考】数式用!$B$4:$AB$4,0)+1,0),"")</f>
        <v/>
      </c>
      <c r="W36" s="1468" t="s">
        <v>19</v>
      </c>
      <c r="X36" s="1538"/>
      <c r="Y36" s="1410" t="s">
        <v>10</v>
      </c>
      <c r="Z36" s="1538"/>
      <c r="AA36" s="1410" t="s">
        <v>45</v>
      </c>
      <c r="AB36" s="1538"/>
      <c r="AC36" s="1410" t="s">
        <v>10</v>
      </c>
      <c r="AD36" s="1538"/>
      <c r="AE36" s="1410" t="s">
        <v>2188</v>
      </c>
      <c r="AF36" s="1410" t="s">
        <v>24</v>
      </c>
      <c r="AG36" s="1410" t="str">
        <f>IF(X36&gt;=1,(AB36*12+AD36)-(X36*12+Z36)+1,"")</f>
        <v/>
      </c>
      <c r="AH36" s="1412" t="s">
        <v>38</v>
      </c>
      <c r="AI36" s="1414" t="str">
        <f t="shared" ref="AI36" si="15">IFERROR(ROUNDDOWN(ROUND(L34*V36,0)*M34,0)*AG36,"")</f>
        <v/>
      </c>
      <c r="AJ36" s="1578" t="str">
        <f>IFERROR(ROUNDDOWN(ROUND((L34*(V36-AX34)),0)*M34,0)*AG36,"")</f>
        <v/>
      </c>
      <c r="AK36" s="1497" t="str">
        <f>IFERROR(ROUNDDOWN(ROUNDDOWN(ROUND(L34*VLOOKUP(K34,【参考】数式用!$A$5:$AB$27,MATCH("新加算Ⅳ",【参考】数式用!$B$4:$AB$4,0)+1,0),0)*M34,0)*AG36*0.5,0),"")</f>
        <v/>
      </c>
      <c r="AL36" s="1580"/>
      <c r="AM36" s="1588" t="str">
        <f>IFERROR(IF('別紙様式2-2（４・５月分）'!Q31="ベア加算","", IF(OR(U36="新加算Ⅰ",U36="新加算Ⅱ",U36="新加算Ⅲ",U36="新加算Ⅳ"),ROUNDDOWN(ROUND(L34*VLOOKUP(K34,【参考】数式用!$A$5:$I$27,MATCH("ベア加算",【参考】数式用!$B$4:$I$4,0)+1,0),0)*M34,0)*AG36,"")),"")</f>
        <v/>
      </c>
      <c r="AN36" s="1544"/>
      <c r="AO36" s="1536"/>
      <c r="AP36" s="1548"/>
      <c r="AQ36" s="1536"/>
      <c r="AR36" s="1550"/>
      <c r="AS36" s="1552"/>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千葉県</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ベア加算なし</v>
      </c>
      <c r="O37" s="1372"/>
      <c r="P37" s="1394"/>
      <c r="Q37" s="1508"/>
      <c r="R37" s="1392"/>
      <c r="S37" s="1398"/>
      <c r="T37" s="1463"/>
      <c r="U37" s="1571"/>
      <c r="V37" s="1467"/>
      <c r="W37" s="1469"/>
      <c r="X37" s="1539"/>
      <c r="Y37" s="1411"/>
      <c r="Z37" s="1539"/>
      <c r="AA37" s="1411"/>
      <c r="AB37" s="1539"/>
      <c r="AC37" s="1411"/>
      <c r="AD37" s="1539"/>
      <c r="AE37" s="1411"/>
      <c r="AF37" s="1411"/>
      <c r="AG37" s="1411"/>
      <c r="AH37" s="1413"/>
      <c r="AI37" s="1415"/>
      <c r="AJ37" s="1579"/>
      <c r="AK37" s="1498"/>
      <c r="AL37" s="1581"/>
      <c r="AM37" s="1589"/>
      <c r="AN37" s="1545"/>
      <c r="AO37" s="1537"/>
      <c r="AP37" s="1549"/>
      <c r="AQ37" s="1537"/>
      <c r="AR37" s="1551"/>
      <c r="AS37" s="1553"/>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ベア加算なし</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千葉県</v>
      </c>
      <c r="BG37" s="1496"/>
      <c r="BH37" s="1496"/>
    </row>
    <row r="38" spans="1:60"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453">
        <f>IF(基本情報入力シート!AB60="","",基本情報入力シート!AB60)</f>
        <v>237000</v>
      </c>
      <c r="M38" s="1450">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2210</v>
      </c>
      <c r="U38" s="1562" t="str">
        <f>IF('別紙様式2-3（６月以降分）'!U38="","",'別紙様式2-3（６月以降分）'!U38)</f>
        <v>新加算Ⅱ</v>
      </c>
      <c r="V38" s="1460">
        <f>IFERROR(VLOOKUP(K38,【参考】数式用!$A$5:$AB$27,MATCH(U38,【参考】数式用!$B$4:$AB$4,0)+1,0),"")</f>
        <v>0.13600000000000001</v>
      </c>
      <c r="W38" s="1353" t="s">
        <v>19</v>
      </c>
      <c r="X38" s="1554">
        <f>'別紙様式2-3（６月以降分）'!X38</f>
        <v>6</v>
      </c>
      <c r="Y38" s="1357" t="s">
        <v>10</v>
      </c>
      <c r="Z38" s="1554">
        <f>'別紙様式2-3（６月以降分）'!Z38</f>
        <v>6</v>
      </c>
      <c r="AA38" s="1357" t="s">
        <v>45</v>
      </c>
      <c r="AB38" s="1554">
        <f>'別紙様式2-3（６月以降分）'!AB38</f>
        <v>7</v>
      </c>
      <c r="AC38" s="1357" t="s">
        <v>10</v>
      </c>
      <c r="AD38" s="1554">
        <f>'別紙様式2-3（６月以降分）'!AD38</f>
        <v>3</v>
      </c>
      <c r="AE38" s="1357" t="s">
        <v>2188</v>
      </c>
      <c r="AF38" s="1357" t="s">
        <v>24</v>
      </c>
      <c r="AG38" s="1357">
        <f>IF(X38&gt;=1,(AB38*12+AD38)-(X38*12+Z38)+1,"")</f>
        <v>10</v>
      </c>
      <c r="AH38" s="1363" t="s">
        <v>38</v>
      </c>
      <c r="AI38" s="1484">
        <f>'別紙様式2-3（６月以降分）'!AI38</f>
        <v>3490720</v>
      </c>
      <c r="AJ38" s="1556">
        <f>'別紙様式2-3（６月以降分）'!AJ38</f>
        <v>2643710</v>
      </c>
      <c r="AK38" s="1584">
        <f>'別紙様式2-3（６月以降分）'!AK38</f>
        <v>1155015</v>
      </c>
      <c r="AL38" s="1560" t="str">
        <f>IF('別紙様式2-3（６月以降分）'!AL38="","",'別紙様式2-3（６月以降分）'!AL38)</f>
        <v/>
      </c>
      <c r="AM38" s="1572">
        <f>'別紙様式2-3（６月以降分）'!AM38</f>
        <v>410670</v>
      </c>
      <c r="AN38" s="1574" t="str">
        <f>IF('別紙様式2-3（６月以降分）'!AN38="","",'別紙様式2-3（６月以降分）'!AN38)</f>
        <v>○</v>
      </c>
      <c r="AO38" s="1406" t="str">
        <f>IF('別紙様式2-3（６月以降分）'!AO38="","",'別紙様式2-3（６月以降分）'!AO38)</f>
        <v>令和６年度中に満たす</v>
      </c>
      <c r="AP38" s="1505" t="str">
        <f>IF('別紙様式2-3（６月以降分）'!AP38="","",'別紙様式2-3（６月以降分）'!AP38)</f>
        <v/>
      </c>
      <c r="AQ38" s="1406" t="str">
        <f>IF('別紙様式2-3（６月以降分）'!AQ38="","",'別紙様式2-3（６月以降分）'!AQ38)</f>
        <v>令和６年度中に満たす</v>
      </c>
      <c r="AR38" s="1586" t="str">
        <f>IF('別紙様式2-3（６月以降分）'!AR38="","",'別紙様式2-3（６月以降分）'!AR38)</f>
        <v/>
      </c>
      <c r="AS38" s="156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処遇加算Ⅲ</v>
      </c>
      <c r="AX38" s="1510">
        <f>IF(SUM('別紙様式2-2（４・５月分）'!P32:P34)=0,"",SUM('別紙様式2-2（４・５月分）'!P32:P34))</f>
        <v>3.3000000000000002E-2</v>
      </c>
      <c r="AY38" s="1593" t="str">
        <f>IFERROR(VLOOKUP(K38,【参考】数式用!$AJ$2:$AK$24,2,FALSE),"")</f>
        <v>介護予防_短期入所生活介護</v>
      </c>
      <c r="AZ38" s="596"/>
      <c r="BE38" s="440"/>
      <c r="BF38" s="1496" t="str">
        <f>G38</f>
        <v>千葉県</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特定加算Ⅱ</v>
      </c>
      <c r="O39" s="1370"/>
      <c r="P39" s="1386"/>
      <c r="Q39" s="1387"/>
      <c r="R39" s="1388"/>
      <c r="S39" s="1396"/>
      <c r="T39" s="1417"/>
      <c r="U39" s="1563"/>
      <c r="V39" s="1461"/>
      <c r="W39" s="1354"/>
      <c r="X39" s="1555"/>
      <c r="Y39" s="1358"/>
      <c r="Z39" s="1555"/>
      <c r="AA39" s="1358"/>
      <c r="AB39" s="1555"/>
      <c r="AC39" s="1358"/>
      <c r="AD39" s="1555"/>
      <c r="AE39" s="1358"/>
      <c r="AF39" s="1358"/>
      <c r="AG39" s="1358"/>
      <c r="AH39" s="1364"/>
      <c r="AI39" s="1485"/>
      <c r="AJ39" s="1557"/>
      <c r="AK39" s="1585"/>
      <c r="AL39" s="1561"/>
      <c r="AM39" s="1573"/>
      <c r="AN39" s="1575"/>
      <c r="AO39" s="1407"/>
      <c r="AP39" s="1567"/>
      <c r="AQ39" s="1407"/>
      <c r="AR39" s="1587"/>
      <c r="AS39" s="1569"/>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特定加算なし</v>
      </c>
      <c r="AX39" s="1510"/>
      <c r="AY39" s="1592"/>
      <c r="AZ39" s="533"/>
      <c r="BE39" s="440"/>
      <c r="BF39" s="1496" t="str">
        <f>G38</f>
        <v>千葉県</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2196</v>
      </c>
      <c r="Q40" s="1507" t="str">
        <f>IFERROR(VLOOKUP('別紙様式2-2（４・５月分）'!AR32,【参考】数式用!$AT$5:$AV$22,3,FALSE),"")</f>
        <v xml:space="preserve"> </v>
      </c>
      <c r="R40" s="1391" t="s">
        <v>2207</v>
      </c>
      <c r="S40" s="1399" t="str">
        <f>IFERROR(VLOOKUP(K38,【参考】数式用!$A$5:$AB$27,MATCH(Q40,【参考】数式用!$B$4:$AB$4,0)+1,0),"")</f>
        <v/>
      </c>
      <c r="T40" s="1462" t="s">
        <v>2285</v>
      </c>
      <c r="U40" s="1570"/>
      <c r="V40" s="1466" t="str">
        <f>IFERROR(VLOOKUP(K38,【参考】数式用!$A$5:$AB$27,MATCH(U40,【参考】数式用!$B$4:$AB$4,0)+1,0),"")</f>
        <v/>
      </c>
      <c r="W40" s="1468" t="s">
        <v>19</v>
      </c>
      <c r="X40" s="1538"/>
      <c r="Y40" s="1410" t="s">
        <v>10</v>
      </c>
      <c r="Z40" s="1538"/>
      <c r="AA40" s="1410" t="s">
        <v>45</v>
      </c>
      <c r="AB40" s="1538"/>
      <c r="AC40" s="1410" t="s">
        <v>10</v>
      </c>
      <c r="AD40" s="1538"/>
      <c r="AE40" s="1410" t="s">
        <v>2188</v>
      </c>
      <c r="AF40" s="1410" t="s">
        <v>24</v>
      </c>
      <c r="AG40" s="1410" t="str">
        <f>IF(X40&gt;=1,(AB40*12+AD40)-(X40*12+Z40)+1,"")</f>
        <v/>
      </c>
      <c r="AH40" s="1412" t="s">
        <v>38</v>
      </c>
      <c r="AI40" s="1414" t="str">
        <f t="shared" ref="AI40" si="19">IFERROR(ROUNDDOWN(ROUND(L38*V40,0)*M38,0)*AG40,"")</f>
        <v/>
      </c>
      <c r="AJ40" s="1578" t="str">
        <f>IFERROR(ROUNDDOWN(ROUND((L38*(V40-AX38)),0)*M38,0)*AG40,"")</f>
        <v/>
      </c>
      <c r="AK40" s="1497" t="str">
        <f>IFERROR(ROUNDDOWN(ROUNDDOWN(ROUND(L38*VLOOKUP(K38,【参考】数式用!$A$5:$AB$27,MATCH("新加算Ⅳ",【参考】数式用!$B$4:$AB$4,0)+1,0),0)*M38,0)*AG40*0.5,0),"")</f>
        <v/>
      </c>
      <c r="AL40" s="1580"/>
      <c r="AM40" s="1588" t="str">
        <f>IFERROR(IF('別紙様式2-2（４・５月分）'!Q34="ベア加算","", IF(OR(U40="新加算Ⅰ",U40="新加算Ⅱ",U40="新加算Ⅲ",U40="新加算Ⅳ"),ROUNDDOWN(ROUND(L38*VLOOKUP(K38,【参考】数式用!$A$5:$I$27,MATCH("ベア加算",【参考】数式用!$B$4:$I$4,0)+1,0),0)*M38,0)*AG40,"")),"")</f>
        <v/>
      </c>
      <c r="AN40" s="1544"/>
      <c r="AO40" s="1536"/>
      <c r="AP40" s="1548"/>
      <c r="AQ40" s="1536"/>
      <c r="AR40" s="1550"/>
      <c r="AS40" s="1552"/>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千葉県</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ベア加算なし</v>
      </c>
      <c r="O41" s="1372"/>
      <c r="P41" s="1394"/>
      <c r="Q41" s="1508"/>
      <c r="R41" s="1392"/>
      <c r="S41" s="1398"/>
      <c r="T41" s="1463"/>
      <c r="U41" s="1571"/>
      <c r="V41" s="1467"/>
      <c r="W41" s="1469"/>
      <c r="X41" s="1539"/>
      <c r="Y41" s="1411"/>
      <c r="Z41" s="1539"/>
      <c r="AA41" s="1411"/>
      <c r="AB41" s="1539"/>
      <c r="AC41" s="1411"/>
      <c r="AD41" s="1539"/>
      <c r="AE41" s="1411"/>
      <c r="AF41" s="1411"/>
      <c r="AG41" s="1411"/>
      <c r="AH41" s="1413"/>
      <c r="AI41" s="1415"/>
      <c r="AJ41" s="1579"/>
      <c r="AK41" s="1498"/>
      <c r="AL41" s="1581"/>
      <c r="AM41" s="1589"/>
      <c r="AN41" s="1545"/>
      <c r="AO41" s="1537"/>
      <c r="AP41" s="1549"/>
      <c r="AQ41" s="1537"/>
      <c r="AR41" s="1551"/>
      <c r="AS41" s="1553"/>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ベア加算なし</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千葉県</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2275</v>
      </c>
      <c r="U42" s="1562" t="str">
        <f>IF('別紙様式2-3（６月以降分）'!U42="","",'別紙様式2-3（６月以降分）'!U42)</f>
        <v/>
      </c>
      <c r="V42" s="1460" t="str">
        <f>IFERROR(VLOOKUP(K42,【参考】数式用!$A$5:$AB$27,MATCH(U42,【参考】数式用!$B$4:$AB$4,0)+1,0),"")</f>
        <v/>
      </c>
      <c r="W42" s="1353" t="s">
        <v>19</v>
      </c>
      <c r="X42" s="1554">
        <f>'別紙様式2-3（６月以降分）'!X42</f>
        <v>6</v>
      </c>
      <c r="Y42" s="1357" t="s">
        <v>10</v>
      </c>
      <c r="Z42" s="1554">
        <f>'別紙様式2-3（６月以降分）'!Z42</f>
        <v>6</v>
      </c>
      <c r="AA42" s="1357" t="s">
        <v>45</v>
      </c>
      <c r="AB42" s="1554">
        <f>'別紙様式2-3（６月以降分）'!AB42</f>
        <v>7</v>
      </c>
      <c r="AC42" s="1357" t="s">
        <v>10</v>
      </c>
      <c r="AD42" s="1554">
        <f>'別紙様式2-3（６月以降分）'!AD42</f>
        <v>3</v>
      </c>
      <c r="AE42" s="1357" t="s">
        <v>2188</v>
      </c>
      <c r="AF42" s="1357" t="s">
        <v>24</v>
      </c>
      <c r="AG42" s="1357">
        <f>IF(X42&gt;=1,(AB42*12+AD42)-(X42*12+Z42)+1,"")</f>
        <v>10</v>
      </c>
      <c r="AH42" s="1363" t="s">
        <v>38</v>
      </c>
      <c r="AI42" s="1484" t="str">
        <f>'別紙様式2-3（６月以降分）'!AI42</f>
        <v/>
      </c>
      <c r="AJ42" s="1556" t="str">
        <f>'別紙様式2-3（６月以降分）'!AJ42</f>
        <v/>
      </c>
      <c r="AK42" s="1584">
        <f>'別紙様式2-3（６月以降分）'!AK42</f>
        <v>0</v>
      </c>
      <c r="AL42" s="1560" t="str">
        <f>IF('別紙様式2-3（６月以降分）'!AL42="","",'別紙様式2-3（６月以降分）'!AL42)</f>
        <v/>
      </c>
      <c r="AM42" s="1572">
        <f>'別紙様式2-3（６月以降分）'!AM42</f>
        <v>0</v>
      </c>
      <c r="AN42" s="1574"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3"/>
      <c r="V43" s="1461"/>
      <c r="W43" s="1354"/>
      <c r="X43" s="1555"/>
      <c r="Y43" s="1358"/>
      <c r="Z43" s="1555"/>
      <c r="AA43" s="1358"/>
      <c r="AB43" s="1555"/>
      <c r="AC43" s="1358"/>
      <c r="AD43" s="1555"/>
      <c r="AE43" s="1358"/>
      <c r="AF43" s="1358"/>
      <c r="AG43" s="1358"/>
      <c r="AH43" s="1364"/>
      <c r="AI43" s="1485"/>
      <c r="AJ43" s="1557"/>
      <c r="AK43" s="1585"/>
      <c r="AL43" s="1561"/>
      <c r="AM43" s="1573"/>
      <c r="AN43" s="1575"/>
      <c r="AO43" s="1407"/>
      <c r="AP43" s="1567"/>
      <c r="AQ43" s="1407"/>
      <c r="AR43" s="1587"/>
      <c r="AS43" s="1569"/>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2196</v>
      </c>
      <c r="Q44" s="1507" t="str">
        <f>IFERROR(VLOOKUP('別紙様式2-2（４・５月分）'!AR35,【参考】数式用!$AT$5:$AV$22,3,FALSE),"")</f>
        <v/>
      </c>
      <c r="R44" s="1391" t="s">
        <v>2207</v>
      </c>
      <c r="S44" s="1397" t="str">
        <f>IFERROR(VLOOKUP(K42,【参考】数式用!$A$5:$AB$27,MATCH(Q44,【参考】数式用!$B$4:$AB$4,0)+1,0),"")</f>
        <v/>
      </c>
      <c r="T44" s="1462" t="s">
        <v>2285</v>
      </c>
      <c r="U44" s="1570"/>
      <c r="V44" s="1466" t="str">
        <f>IFERROR(VLOOKUP(K42,【参考】数式用!$A$5:$AB$27,MATCH(U44,【参考】数式用!$B$4:$AB$4,0)+1,0),"")</f>
        <v/>
      </c>
      <c r="W44" s="1468" t="s">
        <v>19</v>
      </c>
      <c r="X44" s="1538"/>
      <c r="Y44" s="1410" t="s">
        <v>10</v>
      </c>
      <c r="Z44" s="1538"/>
      <c r="AA44" s="1410" t="s">
        <v>45</v>
      </c>
      <c r="AB44" s="1538"/>
      <c r="AC44" s="1410" t="s">
        <v>10</v>
      </c>
      <c r="AD44" s="1538"/>
      <c r="AE44" s="1410" t="s">
        <v>2188</v>
      </c>
      <c r="AF44" s="1410" t="s">
        <v>24</v>
      </c>
      <c r="AG44" s="1410" t="str">
        <f>IF(X44&gt;=1,(AB44*12+AD44)-(X44*12+Z44)+1,"")</f>
        <v/>
      </c>
      <c r="AH44" s="1412" t="s">
        <v>38</v>
      </c>
      <c r="AI44" s="1414" t="str">
        <f t="shared" ref="AI44" si="23">IFERROR(ROUNDDOWN(ROUND(L42*V44,0)*M42,0)*AG44,"")</f>
        <v/>
      </c>
      <c r="AJ44" s="1578" t="str">
        <f>IFERROR(ROUNDDOWN(ROUND((L42*(V44-AX42)),0)*M42,0)*AG44,"")</f>
        <v/>
      </c>
      <c r="AK44" s="1497" t="str">
        <f>IFERROR(ROUNDDOWN(ROUNDDOWN(ROUND(L42*VLOOKUP(K42,【参考】数式用!$A$5:$AB$27,MATCH("新加算Ⅳ",【参考】数式用!$B$4:$AB$4,0)+1,0),0)*M42,0)*AG44*0.5,0),"")</f>
        <v/>
      </c>
      <c r="AL44" s="1580"/>
      <c r="AM44" s="1588" t="str">
        <f>IFERROR(IF('別紙様式2-2（４・５月分）'!Q37="ベア加算","", IF(OR(U44="新加算Ⅰ",U44="新加算Ⅱ",U44="新加算Ⅲ",U44="新加算Ⅳ"),ROUNDDOWN(ROUND(L42*VLOOKUP(K42,【参考】数式用!$A$5:$I$27,MATCH("ベア加算",【参考】数式用!$B$4:$I$4,0)+1,0),0)*M42,0)*AG44,"")),"")</f>
        <v/>
      </c>
      <c r="AN44" s="1544"/>
      <c r="AO44" s="1536"/>
      <c r="AP44" s="1548"/>
      <c r="AQ44" s="1536"/>
      <c r="AR44" s="1550"/>
      <c r="AS44" s="1552"/>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71"/>
      <c r="V45" s="1467"/>
      <c r="W45" s="1469"/>
      <c r="X45" s="1539"/>
      <c r="Y45" s="1411"/>
      <c r="Z45" s="1539"/>
      <c r="AA45" s="1411"/>
      <c r="AB45" s="1539"/>
      <c r="AC45" s="1411"/>
      <c r="AD45" s="1539"/>
      <c r="AE45" s="1411"/>
      <c r="AF45" s="1411"/>
      <c r="AG45" s="1411"/>
      <c r="AH45" s="1413"/>
      <c r="AI45" s="1415"/>
      <c r="AJ45" s="1579"/>
      <c r="AK45" s="1498"/>
      <c r="AL45" s="1581"/>
      <c r="AM45" s="1589"/>
      <c r="AN45" s="1545"/>
      <c r="AO45" s="1537"/>
      <c r="AP45" s="1549"/>
      <c r="AQ45" s="1537"/>
      <c r="AR45" s="1551"/>
      <c r="AS45" s="1553"/>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2275</v>
      </c>
      <c r="U46" s="1562" t="str">
        <f>IF('別紙様式2-3（６月以降分）'!U46="","",'別紙様式2-3（６月以降分）'!U46)</f>
        <v/>
      </c>
      <c r="V46" s="1460" t="str">
        <f>IFERROR(VLOOKUP(K46,【参考】数式用!$A$5:$AB$27,MATCH(U46,【参考】数式用!$B$4:$AB$4,0)+1,0),"")</f>
        <v/>
      </c>
      <c r="W46" s="1353" t="s">
        <v>19</v>
      </c>
      <c r="X46" s="1554">
        <f>'別紙様式2-3（６月以降分）'!X46</f>
        <v>6</v>
      </c>
      <c r="Y46" s="1357" t="s">
        <v>10</v>
      </c>
      <c r="Z46" s="1554">
        <f>'別紙様式2-3（６月以降分）'!Z46</f>
        <v>6</v>
      </c>
      <c r="AA46" s="1357" t="s">
        <v>45</v>
      </c>
      <c r="AB46" s="1554">
        <f>'別紙様式2-3（６月以降分）'!AB46</f>
        <v>7</v>
      </c>
      <c r="AC46" s="1357" t="s">
        <v>10</v>
      </c>
      <c r="AD46" s="1554">
        <f>'別紙様式2-3（６月以降分）'!AD46</f>
        <v>3</v>
      </c>
      <c r="AE46" s="1357" t="s">
        <v>2188</v>
      </c>
      <c r="AF46" s="1357" t="s">
        <v>24</v>
      </c>
      <c r="AG46" s="1357">
        <f>IF(X46&gt;=1,(AB46*12+AD46)-(X46*12+Z46)+1,"")</f>
        <v>10</v>
      </c>
      <c r="AH46" s="1363" t="s">
        <v>38</v>
      </c>
      <c r="AI46" s="1484" t="str">
        <f>'別紙様式2-3（６月以降分）'!AI46</f>
        <v/>
      </c>
      <c r="AJ46" s="1556" t="str">
        <f>'別紙様式2-3（６月以降分）'!AJ46</f>
        <v/>
      </c>
      <c r="AK46" s="1584">
        <f>'別紙様式2-3（６月以降分）'!AK46</f>
        <v>0</v>
      </c>
      <c r="AL46" s="1560" t="str">
        <f>IF('別紙様式2-3（６月以降分）'!AL46="","",'別紙様式2-3（６月以降分）'!AL46)</f>
        <v/>
      </c>
      <c r="AM46" s="1572">
        <f>'別紙様式2-3（６月以降分）'!AM46</f>
        <v>0</v>
      </c>
      <c r="AN46" s="1574"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3"/>
      <c r="V47" s="1461"/>
      <c r="W47" s="1354"/>
      <c r="X47" s="1555"/>
      <c r="Y47" s="1358"/>
      <c r="Z47" s="1555"/>
      <c r="AA47" s="1358"/>
      <c r="AB47" s="1555"/>
      <c r="AC47" s="1358"/>
      <c r="AD47" s="1555"/>
      <c r="AE47" s="1358"/>
      <c r="AF47" s="1358"/>
      <c r="AG47" s="1358"/>
      <c r="AH47" s="1364"/>
      <c r="AI47" s="1485"/>
      <c r="AJ47" s="1557"/>
      <c r="AK47" s="1585"/>
      <c r="AL47" s="1561"/>
      <c r="AM47" s="1573"/>
      <c r="AN47" s="1575"/>
      <c r="AO47" s="1407"/>
      <c r="AP47" s="1567"/>
      <c r="AQ47" s="1407"/>
      <c r="AR47" s="1587"/>
      <c r="AS47" s="1569"/>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2196</v>
      </c>
      <c r="Q48" s="1507" t="str">
        <f>IFERROR(VLOOKUP('別紙様式2-2（４・５月分）'!AR38,【参考】数式用!$AT$5:$AV$22,3,FALSE),"")</f>
        <v/>
      </c>
      <c r="R48" s="1391" t="s">
        <v>2207</v>
      </c>
      <c r="S48" s="1399" t="str">
        <f>IFERROR(VLOOKUP(K46,【参考】数式用!$A$5:$AB$27,MATCH(Q48,【参考】数式用!$B$4:$AB$4,0)+1,0),"")</f>
        <v/>
      </c>
      <c r="T48" s="1462" t="s">
        <v>2285</v>
      </c>
      <c r="U48" s="1570"/>
      <c r="V48" s="1466" t="str">
        <f>IFERROR(VLOOKUP(K46,【参考】数式用!$A$5:$AB$27,MATCH(U48,【参考】数式用!$B$4:$AB$4,0)+1,0),"")</f>
        <v/>
      </c>
      <c r="W48" s="1468" t="s">
        <v>19</v>
      </c>
      <c r="X48" s="1538"/>
      <c r="Y48" s="1410" t="s">
        <v>10</v>
      </c>
      <c r="Z48" s="1538"/>
      <c r="AA48" s="1410" t="s">
        <v>45</v>
      </c>
      <c r="AB48" s="1538"/>
      <c r="AC48" s="1410" t="s">
        <v>10</v>
      </c>
      <c r="AD48" s="1538"/>
      <c r="AE48" s="1410" t="s">
        <v>2188</v>
      </c>
      <c r="AF48" s="1410" t="s">
        <v>24</v>
      </c>
      <c r="AG48" s="1410" t="str">
        <f>IF(X48&gt;=1,(AB48*12+AD48)-(X48*12+Z48)+1,"")</f>
        <v/>
      </c>
      <c r="AH48" s="1412" t="s">
        <v>38</v>
      </c>
      <c r="AI48" s="1414" t="str">
        <f t="shared" ref="AI48" si="27">IFERROR(ROUNDDOWN(ROUND(L46*V48,0)*M46,0)*AG48,"")</f>
        <v/>
      </c>
      <c r="AJ48" s="1578" t="str">
        <f>IFERROR(ROUNDDOWN(ROUND((L46*(V48-AX46)),0)*M46,0)*AG48,"")</f>
        <v/>
      </c>
      <c r="AK48" s="1497" t="str">
        <f>IFERROR(ROUNDDOWN(ROUNDDOWN(ROUND(L46*VLOOKUP(K46,【参考】数式用!$A$5:$AB$27,MATCH("新加算Ⅳ",【参考】数式用!$B$4:$AB$4,0)+1,0),0)*M46,0)*AG48*0.5,0),"")</f>
        <v/>
      </c>
      <c r="AL48" s="1580"/>
      <c r="AM48" s="1588" t="str">
        <f>IFERROR(IF('別紙様式2-2（４・５月分）'!Q40="ベア加算","", IF(OR(U48="新加算Ⅰ",U48="新加算Ⅱ",U48="新加算Ⅲ",U48="新加算Ⅳ"),ROUNDDOWN(ROUND(L46*VLOOKUP(K46,【参考】数式用!$A$5:$I$27,MATCH("ベア加算",【参考】数式用!$B$4:$I$4,0)+1,0),0)*M46,0)*AG48,"")),"")</f>
        <v/>
      </c>
      <c r="AN48" s="1544"/>
      <c r="AO48" s="1536"/>
      <c r="AP48" s="1548"/>
      <c r="AQ48" s="1536"/>
      <c r="AR48" s="1550"/>
      <c r="AS48" s="1552"/>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71"/>
      <c r="V49" s="1467"/>
      <c r="W49" s="1469"/>
      <c r="X49" s="1539"/>
      <c r="Y49" s="1411"/>
      <c r="Z49" s="1539"/>
      <c r="AA49" s="1411"/>
      <c r="AB49" s="1539"/>
      <c r="AC49" s="1411"/>
      <c r="AD49" s="1539"/>
      <c r="AE49" s="1411"/>
      <c r="AF49" s="1411"/>
      <c r="AG49" s="1411"/>
      <c r="AH49" s="1413"/>
      <c r="AI49" s="1415"/>
      <c r="AJ49" s="1579"/>
      <c r="AK49" s="1498"/>
      <c r="AL49" s="1581"/>
      <c r="AM49" s="1589"/>
      <c r="AN49" s="1545"/>
      <c r="AO49" s="1537"/>
      <c r="AP49" s="1549"/>
      <c r="AQ49" s="1537"/>
      <c r="AR49" s="1551"/>
      <c r="AS49" s="1553"/>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2275</v>
      </c>
      <c r="U50" s="1562" t="str">
        <f>IF('別紙様式2-3（６月以降分）'!U50="","",'別紙様式2-3（６月以降分）'!U50)</f>
        <v/>
      </c>
      <c r="V50" s="1460" t="str">
        <f>IFERROR(VLOOKUP(K50,【参考】数式用!$A$5:$AB$27,MATCH(U50,【参考】数式用!$B$4:$AB$4,0)+1,0),"")</f>
        <v/>
      </c>
      <c r="W50" s="1353" t="s">
        <v>19</v>
      </c>
      <c r="X50" s="1554">
        <f>'別紙様式2-3（６月以降分）'!X50</f>
        <v>6</v>
      </c>
      <c r="Y50" s="1357" t="s">
        <v>10</v>
      </c>
      <c r="Z50" s="1554">
        <f>'別紙様式2-3（６月以降分）'!Z50</f>
        <v>6</v>
      </c>
      <c r="AA50" s="1357" t="s">
        <v>45</v>
      </c>
      <c r="AB50" s="1554">
        <f>'別紙様式2-3（６月以降分）'!AB50</f>
        <v>7</v>
      </c>
      <c r="AC50" s="1357" t="s">
        <v>10</v>
      </c>
      <c r="AD50" s="1554">
        <f>'別紙様式2-3（６月以降分）'!AD50</f>
        <v>3</v>
      </c>
      <c r="AE50" s="1357" t="s">
        <v>2188</v>
      </c>
      <c r="AF50" s="1357" t="s">
        <v>24</v>
      </c>
      <c r="AG50" s="1357">
        <f>IF(X50&gt;=1,(AB50*12+AD50)-(X50*12+Z50)+1,"")</f>
        <v>10</v>
      </c>
      <c r="AH50" s="1363" t="s">
        <v>38</v>
      </c>
      <c r="AI50" s="1484" t="str">
        <f>'別紙様式2-3（６月以降分）'!AI50</f>
        <v/>
      </c>
      <c r="AJ50" s="1556" t="str">
        <f>'別紙様式2-3（６月以降分）'!AJ50</f>
        <v/>
      </c>
      <c r="AK50" s="1584">
        <f>'別紙様式2-3（６月以降分）'!AK50</f>
        <v>0</v>
      </c>
      <c r="AL50" s="1560" t="str">
        <f>IF('別紙様式2-3（６月以降分）'!AL50="","",'別紙様式2-3（６月以降分）'!AL50)</f>
        <v/>
      </c>
      <c r="AM50" s="1572">
        <f>'別紙様式2-3（６月以降分）'!AM50</f>
        <v>0</v>
      </c>
      <c r="AN50" s="1574"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3"/>
      <c r="V51" s="1461"/>
      <c r="W51" s="1354"/>
      <c r="X51" s="1555"/>
      <c r="Y51" s="1358"/>
      <c r="Z51" s="1555"/>
      <c r="AA51" s="1358"/>
      <c r="AB51" s="1555"/>
      <c r="AC51" s="1358"/>
      <c r="AD51" s="1555"/>
      <c r="AE51" s="1358"/>
      <c r="AF51" s="1358"/>
      <c r="AG51" s="1358"/>
      <c r="AH51" s="1364"/>
      <c r="AI51" s="1485"/>
      <c r="AJ51" s="1557"/>
      <c r="AK51" s="1585"/>
      <c r="AL51" s="1561"/>
      <c r="AM51" s="1573"/>
      <c r="AN51" s="1575"/>
      <c r="AO51" s="1407"/>
      <c r="AP51" s="1567"/>
      <c r="AQ51" s="1407"/>
      <c r="AR51" s="1587"/>
      <c r="AS51" s="1569"/>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2196</v>
      </c>
      <c r="Q52" s="1507" t="str">
        <f>IFERROR(VLOOKUP('別紙様式2-2（４・５月分）'!AR41,【参考】数式用!$AT$5:$AV$22,3,FALSE),"")</f>
        <v/>
      </c>
      <c r="R52" s="1391" t="s">
        <v>2207</v>
      </c>
      <c r="S52" s="1397" t="str">
        <f>IFERROR(VLOOKUP(K50,【参考】数式用!$A$5:$AB$27,MATCH(Q52,【参考】数式用!$B$4:$AB$4,0)+1,0),"")</f>
        <v/>
      </c>
      <c r="T52" s="1462" t="s">
        <v>2285</v>
      </c>
      <c r="U52" s="1570"/>
      <c r="V52" s="1466" t="str">
        <f>IFERROR(VLOOKUP(K50,【参考】数式用!$A$5:$AB$27,MATCH(U52,【参考】数式用!$B$4:$AB$4,0)+1,0),"")</f>
        <v/>
      </c>
      <c r="W52" s="1468" t="s">
        <v>19</v>
      </c>
      <c r="X52" s="1538"/>
      <c r="Y52" s="1410" t="s">
        <v>10</v>
      </c>
      <c r="Z52" s="1538"/>
      <c r="AA52" s="1410" t="s">
        <v>45</v>
      </c>
      <c r="AB52" s="1538"/>
      <c r="AC52" s="1410" t="s">
        <v>10</v>
      </c>
      <c r="AD52" s="1538"/>
      <c r="AE52" s="1410" t="s">
        <v>2188</v>
      </c>
      <c r="AF52" s="1410" t="s">
        <v>24</v>
      </c>
      <c r="AG52" s="1410" t="str">
        <f>IF(X52&gt;=1,(AB52*12+AD52)-(X52*12+Z52)+1,"")</f>
        <v/>
      </c>
      <c r="AH52" s="1412" t="s">
        <v>38</v>
      </c>
      <c r="AI52" s="1414" t="str">
        <f t="shared" ref="AI52" si="31">IFERROR(ROUNDDOWN(ROUND(L50*V52,0)*M50,0)*AG52,"")</f>
        <v/>
      </c>
      <c r="AJ52" s="1578" t="str">
        <f>IFERROR(ROUNDDOWN(ROUND((L50*(V52-AX50)),0)*M50,0)*AG52,"")</f>
        <v/>
      </c>
      <c r="AK52" s="1497" t="str">
        <f>IFERROR(ROUNDDOWN(ROUNDDOWN(ROUND(L50*VLOOKUP(K50,【参考】数式用!$A$5:$AB$27,MATCH("新加算Ⅳ",【参考】数式用!$B$4:$AB$4,0)+1,0),0)*M50,0)*AG52*0.5,0),"")</f>
        <v/>
      </c>
      <c r="AL52" s="1580"/>
      <c r="AM52" s="1588" t="str">
        <f>IFERROR(IF('別紙様式2-2（４・５月分）'!Q43="ベア加算","", IF(OR(U52="新加算Ⅰ",U52="新加算Ⅱ",U52="新加算Ⅲ",U52="新加算Ⅳ"),ROUNDDOWN(ROUND(L50*VLOOKUP(K50,【参考】数式用!$A$5:$I$27,MATCH("ベア加算",【参考】数式用!$B$4:$I$4,0)+1,0),0)*M50,0)*AG52,"")),"")</f>
        <v/>
      </c>
      <c r="AN52" s="1544"/>
      <c r="AO52" s="1536"/>
      <c r="AP52" s="1548"/>
      <c r="AQ52" s="1536"/>
      <c r="AR52" s="1550"/>
      <c r="AS52" s="1552"/>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71"/>
      <c r="V53" s="1467"/>
      <c r="W53" s="1469"/>
      <c r="X53" s="1539"/>
      <c r="Y53" s="1411"/>
      <c r="Z53" s="1539"/>
      <c r="AA53" s="1411"/>
      <c r="AB53" s="1539"/>
      <c r="AC53" s="1411"/>
      <c r="AD53" s="1539"/>
      <c r="AE53" s="1411"/>
      <c r="AF53" s="1411"/>
      <c r="AG53" s="1411"/>
      <c r="AH53" s="1413"/>
      <c r="AI53" s="1415"/>
      <c r="AJ53" s="1579"/>
      <c r="AK53" s="1498"/>
      <c r="AL53" s="1581"/>
      <c r="AM53" s="1589"/>
      <c r="AN53" s="1545"/>
      <c r="AO53" s="1537"/>
      <c r="AP53" s="1549"/>
      <c r="AQ53" s="1537"/>
      <c r="AR53" s="1551"/>
      <c r="AS53" s="1553"/>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2275</v>
      </c>
      <c r="U54" s="1562" t="str">
        <f>IF('別紙様式2-3（６月以降分）'!U54="","",'別紙様式2-3（６月以降分）'!U54)</f>
        <v/>
      </c>
      <c r="V54" s="1460" t="str">
        <f>IFERROR(VLOOKUP(K54,【参考】数式用!$A$5:$AB$27,MATCH(U54,【参考】数式用!$B$4:$AB$4,0)+1,0),"")</f>
        <v/>
      </c>
      <c r="W54" s="1353" t="s">
        <v>19</v>
      </c>
      <c r="X54" s="1554">
        <f>'別紙様式2-3（６月以降分）'!X54</f>
        <v>6</v>
      </c>
      <c r="Y54" s="1357" t="s">
        <v>10</v>
      </c>
      <c r="Z54" s="1554">
        <f>'別紙様式2-3（６月以降分）'!Z54</f>
        <v>6</v>
      </c>
      <c r="AA54" s="1357" t="s">
        <v>45</v>
      </c>
      <c r="AB54" s="1554">
        <f>'別紙様式2-3（６月以降分）'!AB54</f>
        <v>7</v>
      </c>
      <c r="AC54" s="1357" t="s">
        <v>10</v>
      </c>
      <c r="AD54" s="1554">
        <f>'別紙様式2-3（６月以降分）'!AD54</f>
        <v>3</v>
      </c>
      <c r="AE54" s="1357" t="s">
        <v>2188</v>
      </c>
      <c r="AF54" s="1357" t="s">
        <v>24</v>
      </c>
      <c r="AG54" s="1357">
        <f>IF(X54&gt;=1,(AB54*12+AD54)-(X54*12+Z54)+1,"")</f>
        <v>10</v>
      </c>
      <c r="AH54" s="1363" t="s">
        <v>38</v>
      </c>
      <c r="AI54" s="1484" t="str">
        <f>'別紙様式2-3（６月以降分）'!AI54</f>
        <v/>
      </c>
      <c r="AJ54" s="1556" t="str">
        <f>'別紙様式2-3（６月以降分）'!AJ54</f>
        <v/>
      </c>
      <c r="AK54" s="1584">
        <f>'別紙様式2-3（６月以降分）'!AK54</f>
        <v>0</v>
      </c>
      <c r="AL54" s="1560" t="str">
        <f>IF('別紙様式2-3（６月以降分）'!AL54="","",'別紙様式2-3（６月以降分）'!AL54)</f>
        <v/>
      </c>
      <c r="AM54" s="1572">
        <f>'別紙様式2-3（６月以降分）'!AM54</f>
        <v>0</v>
      </c>
      <c r="AN54" s="1574"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3"/>
      <c r="V55" s="1461"/>
      <c r="W55" s="1354"/>
      <c r="X55" s="1555"/>
      <c r="Y55" s="1358"/>
      <c r="Z55" s="1555"/>
      <c r="AA55" s="1358"/>
      <c r="AB55" s="1555"/>
      <c r="AC55" s="1358"/>
      <c r="AD55" s="1555"/>
      <c r="AE55" s="1358"/>
      <c r="AF55" s="1358"/>
      <c r="AG55" s="1358"/>
      <c r="AH55" s="1364"/>
      <c r="AI55" s="1485"/>
      <c r="AJ55" s="1557"/>
      <c r="AK55" s="1585"/>
      <c r="AL55" s="1561"/>
      <c r="AM55" s="1573"/>
      <c r="AN55" s="1575"/>
      <c r="AO55" s="1407"/>
      <c r="AP55" s="1567"/>
      <c r="AQ55" s="1407"/>
      <c r="AR55" s="1587"/>
      <c r="AS55" s="1569"/>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2196</v>
      </c>
      <c r="Q56" s="1507" t="str">
        <f>IFERROR(VLOOKUP('別紙様式2-2（４・５月分）'!AR44,【参考】数式用!$AT$5:$AV$22,3,FALSE),"")</f>
        <v/>
      </c>
      <c r="R56" s="1391" t="s">
        <v>2207</v>
      </c>
      <c r="S56" s="1399" t="str">
        <f>IFERROR(VLOOKUP(K54,【参考】数式用!$A$5:$AB$27,MATCH(Q56,【参考】数式用!$B$4:$AB$4,0)+1,0),"")</f>
        <v/>
      </c>
      <c r="T56" s="1462" t="s">
        <v>2285</v>
      </c>
      <c r="U56" s="1570"/>
      <c r="V56" s="1466" t="str">
        <f>IFERROR(VLOOKUP(K54,【参考】数式用!$A$5:$AB$27,MATCH(U56,【参考】数式用!$B$4:$AB$4,0)+1,0),"")</f>
        <v/>
      </c>
      <c r="W56" s="1468" t="s">
        <v>19</v>
      </c>
      <c r="X56" s="1538"/>
      <c r="Y56" s="1410" t="s">
        <v>10</v>
      </c>
      <c r="Z56" s="1538"/>
      <c r="AA56" s="1410" t="s">
        <v>45</v>
      </c>
      <c r="AB56" s="1538"/>
      <c r="AC56" s="1410" t="s">
        <v>10</v>
      </c>
      <c r="AD56" s="1538"/>
      <c r="AE56" s="1410" t="s">
        <v>2188</v>
      </c>
      <c r="AF56" s="1410" t="s">
        <v>24</v>
      </c>
      <c r="AG56" s="1410" t="str">
        <f>IF(X56&gt;=1,(AB56*12+AD56)-(X56*12+Z56)+1,"")</f>
        <v/>
      </c>
      <c r="AH56" s="1412" t="s">
        <v>38</v>
      </c>
      <c r="AI56" s="1414" t="str">
        <f t="shared" ref="AI56" si="35">IFERROR(ROUNDDOWN(ROUND(L54*V56,0)*M54,0)*AG56,"")</f>
        <v/>
      </c>
      <c r="AJ56" s="1578" t="str">
        <f>IFERROR(ROUNDDOWN(ROUND((L54*(V56-AX54)),0)*M54,0)*AG56,"")</f>
        <v/>
      </c>
      <c r="AK56" s="1497" t="str">
        <f>IFERROR(ROUNDDOWN(ROUNDDOWN(ROUND(L54*VLOOKUP(K54,【参考】数式用!$A$5:$AB$27,MATCH("新加算Ⅳ",【参考】数式用!$B$4:$AB$4,0)+1,0),0)*M54,0)*AG56*0.5,0),"")</f>
        <v/>
      </c>
      <c r="AL56" s="1580"/>
      <c r="AM56" s="1588" t="str">
        <f>IFERROR(IF('別紙様式2-2（４・５月分）'!Q46="ベア加算","", IF(OR(U56="新加算Ⅰ",U56="新加算Ⅱ",U56="新加算Ⅲ",U56="新加算Ⅳ"),ROUNDDOWN(ROUND(L54*VLOOKUP(K54,【参考】数式用!$A$5:$I$27,MATCH("ベア加算",【参考】数式用!$B$4:$I$4,0)+1,0),0)*M54,0)*AG56,"")),"")</f>
        <v/>
      </c>
      <c r="AN56" s="1544"/>
      <c r="AO56" s="1536"/>
      <c r="AP56" s="1548"/>
      <c r="AQ56" s="1536"/>
      <c r="AR56" s="1550"/>
      <c r="AS56" s="1552"/>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71"/>
      <c r="V57" s="1467"/>
      <c r="W57" s="1469"/>
      <c r="X57" s="1539"/>
      <c r="Y57" s="1411"/>
      <c r="Z57" s="1539"/>
      <c r="AA57" s="1411"/>
      <c r="AB57" s="1539"/>
      <c r="AC57" s="1411"/>
      <c r="AD57" s="1539"/>
      <c r="AE57" s="1411"/>
      <c r="AF57" s="1411"/>
      <c r="AG57" s="1411"/>
      <c r="AH57" s="1413"/>
      <c r="AI57" s="1415"/>
      <c r="AJ57" s="1579"/>
      <c r="AK57" s="1498"/>
      <c r="AL57" s="1581"/>
      <c r="AM57" s="1589"/>
      <c r="AN57" s="1545"/>
      <c r="AO57" s="1537"/>
      <c r="AP57" s="1549"/>
      <c r="AQ57" s="1537"/>
      <c r="AR57" s="1551"/>
      <c r="AS57" s="1553"/>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2275</v>
      </c>
      <c r="U58" s="1562" t="str">
        <f>IF('別紙様式2-3（６月以降分）'!U58="","",'別紙様式2-3（６月以降分）'!U58)</f>
        <v/>
      </c>
      <c r="V58" s="1460" t="str">
        <f>IFERROR(VLOOKUP(K58,【参考】数式用!$A$5:$AB$27,MATCH(U58,【参考】数式用!$B$4:$AB$4,0)+1,0),"")</f>
        <v/>
      </c>
      <c r="W58" s="1353" t="s">
        <v>19</v>
      </c>
      <c r="X58" s="1554">
        <f>'別紙様式2-3（６月以降分）'!X58</f>
        <v>6</v>
      </c>
      <c r="Y58" s="1357" t="s">
        <v>10</v>
      </c>
      <c r="Z58" s="1554">
        <f>'別紙様式2-3（６月以降分）'!Z58</f>
        <v>6</v>
      </c>
      <c r="AA58" s="1357" t="s">
        <v>45</v>
      </c>
      <c r="AB58" s="1554">
        <f>'別紙様式2-3（６月以降分）'!AB58</f>
        <v>7</v>
      </c>
      <c r="AC58" s="1357" t="s">
        <v>10</v>
      </c>
      <c r="AD58" s="1554">
        <f>'別紙様式2-3（６月以降分）'!AD58</f>
        <v>3</v>
      </c>
      <c r="AE58" s="1357" t="s">
        <v>2188</v>
      </c>
      <c r="AF58" s="1357" t="s">
        <v>24</v>
      </c>
      <c r="AG58" s="1357">
        <f>IF(X58&gt;=1,(AB58*12+AD58)-(X58*12+Z58)+1,"")</f>
        <v>10</v>
      </c>
      <c r="AH58" s="1363" t="s">
        <v>38</v>
      </c>
      <c r="AI58" s="1484" t="str">
        <f>'別紙様式2-3（６月以降分）'!AI58</f>
        <v/>
      </c>
      <c r="AJ58" s="1556" t="str">
        <f>'別紙様式2-3（６月以降分）'!AJ58</f>
        <v/>
      </c>
      <c r="AK58" s="1584">
        <f>'別紙様式2-3（６月以降分）'!AK58</f>
        <v>0</v>
      </c>
      <c r="AL58" s="1560" t="str">
        <f>IF('別紙様式2-3（６月以降分）'!AL58="","",'別紙様式2-3（６月以降分）'!AL58)</f>
        <v/>
      </c>
      <c r="AM58" s="1572">
        <f>'別紙様式2-3（６月以降分）'!AM58</f>
        <v>0</v>
      </c>
      <c r="AN58" s="1574"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3"/>
      <c r="V59" s="1461"/>
      <c r="W59" s="1354"/>
      <c r="X59" s="1555"/>
      <c r="Y59" s="1358"/>
      <c r="Z59" s="1555"/>
      <c r="AA59" s="1358"/>
      <c r="AB59" s="1555"/>
      <c r="AC59" s="1358"/>
      <c r="AD59" s="1555"/>
      <c r="AE59" s="1358"/>
      <c r="AF59" s="1358"/>
      <c r="AG59" s="1358"/>
      <c r="AH59" s="1364"/>
      <c r="AI59" s="1485"/>
      <c r="AJ59" s="1557"/>
      <c r="AK59" s="1585"/>
      <c r="AL59" s="1561"/>
      <c r="AM59" s="1573"/>
      <c r="AN59" s="1575"/>
      <c r="AO59" s="1407"/>
      <c r="AP59" s="1567"/>
      <c r="AQ59" s="1407"/>
      <c r="AR59" s="1587"/>
      <c r="AS59" s="1569"/>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2196</v>
      </c>
      <c r="Q60" s="1507" t="str">
        <f>IFERROR(VLOOKUP('別紙様式2-2（４・５月分）'!AR47,【参考】数式用!$AT$5:$AV$22,3,FALSE),"")</f>
        <v/>
      </c>
      <c r="R60" s="1391" t="s">
        <v>2207</v>
      </c>
      <c r="S60" s="1397" t="str">
        <f>IFERROR(VLOOKUP(K58,【参考】数式用!$A$5:$AB$27,MATCH(Q60,【参考】数式用!$B$4:$AB$4,0)+1,0),"")</f>
        <v/>
      </c>
      <c r="T60" s="1462" t="s">
        <v>2285</v>
      </c>
      <c r="U60" s="1570"/>
      <c r="V60" s="1466" t="str">
        <f>IFERROR(VLOOKUP(K58,【参考】数式用!$A$5:$AB$27,MATCH(U60,【参考】数式用!$B$4:$AB$4,0)+1,0),"")</f>
        <v/>
      </c>
      <c r="W60" s="1468" t="s">
        <v>19</v>
      </c>
      <c r="X60" s="1538"/>
      <c r="Y60" s="1410" t="s">
        <v>10</v>
      </c>
      <c r="Z60" s="1538"/>
      <c r="AA60" s="1410" t="s">
        <v>45</v>
      </c>
      <c r="AB60" s="1538"/>
      <c r="AC60" s="1410" t="s">
        <v>10</v>
      </c>
      <c r="AD60" s="1538"/>
      <c r="AE60" s="1410" t="s">
        <v>2188</v>
      </c>
      <c r="AF60" s="1410" t="s">
        <v>24</v>
      </c>
      <c r="AG60" s="1410" t="str">
        <f>IF(X60&gt;=1,(AB60*12+AD60)-(X60*12+Z60)+1,"")</f>
        <v/>
      </c>
      <c r="AH60" s="1412" t="s">
        <v>38</v>
      </c>
      <c r="AI60" s="1414" t="str">
        <f t="shared" ref="AI60" si="39">IFERROR(ROUNDDOWN(ROUND(L58*V60,0)*M58,0)*AG60,"")</f>
        <v/>
      </c>
      <c r="AJ60" s="1578" t="str">
        <f>IFERROR(ROUNDDOWN(ROUND((L58*(V60-AX58)),0)*M58,0)*AG60,"")</f>
        <v/>
      </c>
      <c r="AK60" s="1497" t="str">
        <f>IFERROR(ROUNDDOWN(ROUNDDOWN(ROUND(L58*VLOOKUP(K58,【参考】数式用!$A$5:$AB$27,MATCH("新加算Ⅳ",【参考】数式用!$B$4:$AB$4,0)+1,0),0)*M58,0)*AG60*0.5,0),"")</f>
        <v/>
      </c>
      <c r="AL60" s="1580"/>
      <c r="AM60" s="1588" t="str">
        <f>IFERROR(IF('別紙様式2-2（４・５月分）'!Q49="ベア加算","", IF(OR(U60="新加算Ⅰ",U60="新加算Ⅱ",U60="新加算Ⅲ",U60="新加算Ⅳ"),ROUNDDOWN(ROUND(L58*VLOOKUP(K58,【参考】数式用!$A$5:$I$27,MATCH("ベア加算",【参考】数式用!$B$4:$I$4,0)+1,0),0)*M58,0)*AG60,"")),"")</f>
        <v/>
      </c>
      <c r="AN60" s="1544"/>
      <c r="AO60" s="1536"/>
      <c r="AP60" s="1548"/>
      <c r="AQ60" s="1536"/>
      <c r="AR60" s="1550"/>
      <c r="AS60" s="1552"/>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71"/>
      <c r="V61" s="1467"/>
      <c r="W61" s="1469"/>
      <c r="X61" s="1539"/>
      <c r="Y61" s="1411"/>
      <c r="Z61" s="1539"/>
      <c r="AA61" s="1411"/>
      <c r="AB61" s="1539"/>
      <c r="AC61" s="1411"/>
      <c r="AD61" s="1539"/>
      <c r="AE61" s="1411"/>
      <c r="AF61" s="1411"/>
      <c r="AG61" s="1411"/>
      <c r="AH61" s="1413"/>
      <c r="AI61" s="1415"/>
      <c r="AJ61" s="1579"/>
      <c r="AK61" s="1498"/>
      <c r="AL61" s="1581"/>
      <c r="AM61" s="1589"/>
      <c r="AN61" s="1545"/>
      <c r="AO61" s="1537"/>
      <c r="AP61" s="1549"/>
      <c r="AQ61" s="1537"/>
      <c r="AR61" s="1551"/>
      <c r="AS61" s="1553"/>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2275</v>
      </c>
      <c r="U62" s="1562" t="str">
        <f>IF('別紙様式2-3（６月以降分）'!U62="","",'別紙様式2-3（６月以降分）'!U62)</f>
        <v/>
      </c>
      <c r="V62" s="1460" t="str">
        <f>IFERROR(VLOOKUP(K62,【参考】数式用!$A$5:$AB$27,MATCH(U62,【参考】数式用!$B$4:$AB$4,0)+1,0),"")</f>
        <v/>
      </c>
      <c r="W62" s="1353" t="s">
        <v>19</v>
      </c>
      <c r="X62" s="1554">
        <f>'別紙様式2-3（６月以降分）'!X62</f>
        <v>6</v>
      </c>
      <c r="Y62" s="1357" t="s">
        <v>10</v>
      </c>
      <c r="Z62" s="1554">
        <f>'別紙様式2-3（６月以降分）'!Z62</f>
        <v>6</v>
      </c>
      <c r="AA62" s="1357" t="s">
        <v>45</v>
      </c>
      <c r="AB62" s="1554">
        <f>'別紙様式2-3（６月以降分）'!AB62</f>
        <v>7</v>
      </c>
      <c r="AC62" s="1357" t="s">
        <v>10</v>
      </c>
      <c r="AD62" s="1554">
        <f>'別紙様式2-3（６月以降分）'!AD62</f>
        <v>3</v>
      </c>
      <c r="AE62" s="1357" t="s">
        <v>2188</v>
      </c>
      <c r="AF62" s="1357" t="s">
        <v>24</v>
      </c>
      <c r="AG62" s="1357">
        <f>IF(X62&gt;=1,(AB62*12+AD62)-(X62*12+Z62)+1,"")</f>
        <v>10</v>
      </c>
      <c r="AH62" s="1363" t="s">
        <v>38</v>
      </c>
      <c r="AI62" s="1484" t="str">
        <f>'別紙様式2-3（６月以降分）'!AI62</f>
        <v/>
      </c>
      <c r="AJ62" s="1556" t="str">
        <f>'別紙様式2-3（６月以降分）'!AJ62</f>
        <v/>
      </c>
      <c r="AK62" s="1584">
        <f>'別紙様式2-3（６月以降分）'!AK62</f>
        <v>0</v>
      </c>
      <c r="AL62" s="1560" t="str">
        <f>IF('別紙様式2-3（６月以降分）'!AL62="","",'別紙様式2-3（６月以降分）'!AL62)</f>
        <v/>
      </c>
      <c r="AM62" s="1572">
        <f>'別紙様式2-3（６月以降分）'!AM62</f>
        <v>0</v>
      </c>
      <c r="AN62" s="1574"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3"/>
      <c r="V63" s="1461"/>
      <c r="W63" s="1354"/>
      <c r="X63" s="1555"/>
      <c r="Y63" s="1358"/>
      <c r="Z63" s="1555"/>
      <c r="AA63" s="1358"/>
      <c r="AB63" s="1555"/>
      <c r="AC63" s="1358"/>
      <c r="AD63" s="1555"/>
      <c r="AE63" s="1358"/>
      <c r="AF63" s="1358"/>
      <c r="AG63" s="1358"/>
      <c r="AH63" s="1364"/>
      <c r="AI63" s="1485"/>
      <c r="AJ63" s="1557"/>
      <c r="AK63" s="1585"/>
      <c r="AL63" s="1561"/>
      <c r="AM63" s="1573"/>
      <c r="AN63" s="1575"/>
      <c r="AO63" s="1407"/>
      <c r="AP63" s="1567"/>
      <c r="AQ63" s="1407"/>
      <c r="AR63" s="1587"/>
      <c r="AS63" s="1569"/>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2196</v>
      </c>
      <c r="Q64" s="1507" t="str">
        <f>IFERROR(VLOOKUP('別紙様式2-2（４・５月分）'!AR50,【参考】数式用!$AT$5:$AV$22,3,FALSE),"")</f>
        <v/>
      </c>
      <c r="R64" s="1391" t="s">
        <v>2207</v>
      </c>
      <c r="S64" s="1399" t="str">
        <f>IFERROR(VLOOKUP(K62,【参考】数式用!$A$5:$AB$27,MATCH(Q64,【参考】数式用!$B$4:$AB$4,0)+1,0),"")</f>
        <v/>
      </c>
      <c r="T64" s="1462" t="s">
        <v>2285</v>
      </c>
      <c r="U64" s="1570"/>
      <c r="V64" s="1466" t="str">
        <f>IFERROR(VLOOKUP(K62,【参考】数式用!$A$5:$AB$27,MATCH(U64,【参考】数式用!$B$4:$AB$4,0)+1,0),"")</f>
        <v/>
      </c>
      <c r="W64" s="1468" t="s">
        <v>19</v>
      </c>
      <c r="X64" s="1538"/>
      <c r="Y64" s="1410" t="s">
        <v>10</v>
      </c>
      <c r="Z64" s="1538"/>
      <c r="AA64" s="1410" t="s">
        <v>45</v>
      </c>
      <c r="AB64" s="1538"/>
      <c r="AC64" s="1410" t="s">
        <v>10</v>
      </c>
      <c r="AD64" s="1538"/>
      <c r="AE64" s="1410" t="s">
        <v>2188</v>
      </c>
      <c r="AF64" s="1410" t="s">
        <v>24</v>
      </c>
      <c r="AG64" s="1410" t="str">
        <f>IF(X64&gt;=1,(AB64*12+AD64)-(X64*12+Z64)+1,"")</f>
        <v/>
      </c>
      <c r="AH64" s="1412" t="s">
        <v>38</v>
      </c>
      <c r="AI64" s="1414" t="str">
        <f t="shared" ref="AI64" si="43">IFERROR(ROUNDDOWN(ROUND(L62*V64,0)*M62,0)*AG64,"")</f>
        <v/>
      </c>
      <c r="AJ64" s="1578" t="str">
        <f>IFERROR(ROUNDDOWN(ROUND((L62*(V64-AX62)),0)*M62,0)*AG64,"")</f>
        <v/>
      </c>
      <c r="AK64" s="1497" t="str">
        <f>IFERROR(ROUNDDOWN(ROUNDDOWN(ROUND(L62*VLOOKUP(K62,【参考】数式用!$A$5:$AB$27,MATCH("新加算Ⅳ",【参考】数式用!$B$4:$AB$4,0)+1,0),0)*M62,0)*AG64*0.5,0),"")</f>
        <v/>
      </c>
      <c r="AL64" s="1580"/>
      <c r="AM64" s="1588" t="str">
        <f>IFERROR(IF('別紙様式2-2（４・５月分）'!Q52="ベア加算","", IF(OR(U64="新加算Ⅰ",U64="新加算Ⅱ",U64="新加算Ⅲ",U64="新加算Ⅳ"),ROUNDDOWN(ROUND(L62*VLOOKUP(K62,【参考】数式用!$A$5:$I$27,MATCH("ベア加算",【参考】数式用!$B$4:$I$4,0)+1,0),0)*M62,0)*AG64,"")),"")</f>
        <v/>
      </c>
      <c r="AN64" s="1544"/>
      <c r="AO64" s="1536"/>
      <c r="AP64" s="1548"/>
      <c r="AQ64" s="1536"/>
      <c r="AR64" s="1550"/>
      <c r="AS64" s="1552"/>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71"/>
      <c r="V65" s="1467"/>
      <c r="W65" s="1469"/>
      <c r="X65" s="1539"/>
      <c r="Y65" s="1411"/>
      <c r="Z65" s="1539"/>
      <c r="AA65" s="1411"/>
      <c r="AB65" s="1539"/>
      <c r="AC65" s="1411"/>
      <c r="AD65" s="1539"/>
      <c r="AE65" s="1411"/>
      <c r="AF65" s="1411"/>
      <c r="AG65" s="1411"/>
      <c r="AH65" s="1413"/>
      <c r="AI65" s="1415"/>
      <c r="AJ65" s="1579"/>
      <c r="AK65" s="1498"/>
      <c r="AL65" s="1581"/>
      <c r="AM65" s="1589"/>
      <c r="AN65" s="1545"/>
      <c r="AO65" s="1537"/>
      <c r="AP65" s="1549"/>
      <c r="AQ65" s="1537"/>
      <c r="AR65" s="1551"/>
      <c r="AS65" s="1553"/>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2275</v>
      </c>
      <c r="U66" s="1562" t="str">
        <f>IF('別紙様式2-3（６月以降分）'!U66="","",'別紙様式2-3（６月以降分）'!U66)</f>
        <v/>
      </c>
      <c r="V66" s="1460" t="str">
        <f>IFERROR(VLOOKUP(K66,【参考】数式用!$A$5:$AB$27,MATCH(U66,【参考】数式用!$B$4:$AB$4,0)+1,0),"")</f>
        <v/>
      </c>
      <c r="W66" s="1353" t="s">
        <v>19</v>
      </c>
      <c r="X66" s="1554">
        <f>'別紙様式2-3（６月以降分）'!X66</f>
        <v>6</v>
      </c>
      <c r="Y66" s="1357" t="s">
        <v>10</v>
      </c>
      <c r="Z66" s="1554">
        <f>'別紙様式2-3（６月以降分）'!Z66</f>
        <v>6</v>
      </c>
      <c r="AA66" s="1357" t="s">
        <v>45</v>
      </c>
      <c r="AB66" s="1554">
        <f>'別紙様式2-3（６月以降分）'!AB66</f>
        <v>7</v>
      </c>
      <c r="AC66" s="1357" t="s">
        <v>10</v>
      </c>
      <c r="AD66" s="1554">
        <f>'別紙様式2-3（６月以降分）'!AD66</f>
        <v>3</v>
      </c>
      <c r="AE66" s="1357" t="s">
        <v>2188</v>
      </c>
      <c r="AF66" s="1357" t="s">
        <v>24</v>
      </c>
      <c r="AG66" s="1357">
        <f>IF(X66&gt;=1,(AB66*12+AD66)-(X66*12+Z66)+1,"")</f>
        <v>10</v>
      </c>
      <c r="AH66" s="1363" t="s">
        <v>38</v>
      </c>
      <c r="AI66" s="1484" t="str">
        <f>'別紙様式2-3（６月以降分）'!AI66</f>
        <v/>
      </c>
      <c r="AJ66" s="1556" t="str">
        <f>'別紙様式2-3（６月以降分）'!AJ66</f>
        <v/>
      </c>
      <c r="AK66" s="1584">
        <f>'別紙様式2-3（６月以降分）'!AK66</f>
        <v>0</v>
      </c>
      <c r="AL66" s="1560" t="str">
        <f>IF('別紙様式2-3（６月以降分）'!AL66="","",'別紙様式2-3（６月以降分）'!AL66)</f>
        <v/>
      </c>
      <c r="AM66" s="1572">
        <f>'別紙様式2-3（６月以降分）'!AM66</f>
        <v>0</v>
      </c>
      <c r="AN66" s="1574"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3"/>
      <c r="V67" s="1461"/>
      <c r="W67" s="1354"/>
      <c r="X67" s="1555"/>
      <c r="Y67" s="1358"/>
      <c r="Z67" s="1555"/>
      <c r="AA67" s="1358"/>
      <c r="AB67" s="1555"/>
      <c r="AC67" s="1358"/>
      <c r="AD67" s="1555"/>
      <c r="AE67" s="1358"/>
      <c r="AF67" s="1358"/>
      <c r="AG67" s="1358"/>
      <c r="AH67" s="1364"/>
      <c r="AI67" s="1485"/>
      <c r="AJ67" s="1557"/>
      <c r="AK67" s="1585"/>
      <c r="AL67" s="1561"/>
      <c r="AM67" s="1573"/>
      <c r="AN67" s="1575"/>
      <c r="AO67" s="1407"/>
      <c r="AP67" s="1567"/>
      <c r="AQ67" s="1407"/>
      <c r="AR67" s="1587"/>
      <c r="AS67" s="1569"/>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2196</v>
      </c>
      <c r="Q68" s="1507" t="str">
        <f>IFERROR(VLOOKUP('別紙様式2-2（４・５月分）'!AR53,【参考】数式用!$AT$5:$AV$22,3,FALSE),"")</f>
        <v/>
      </c>
      <c r="R68" s="1391" t="s">
        <v>2207</v>
      </c>
      <c r="S68" s="1397" t="str">
        <f>IFERROR(VLOOKUP(K66,【参考】数式用!$A$5:$AB$27,MATCH(Q68,【参考】数式用!$B$4:$AB$4,0)+1,0),"")</f>
        <v/>
      </c>
      <c r="T68" s="1462" t="s">
        <v>2285</v>
      </c>
      <c r="U68" s="1570"/>
      <c r="V68" s="1466" t="str">
        <f>IFERROR(VLOOKUP(K66,【参考】数式用!$A$5:$AB$27,MATCH(U68,【参考】数式用!$B$4:$AB$4,0)+1,0),"")</f>
        <v/>
      </c>
      <c r="W68" s="1468" t="s">
        <v>19</v>
      </c>
      <c r="X68" s="1538"/>
      <c r="Y68" s="1410" t="s">
        <v>10</v>
      </c>
      <c r="Z68" s="1538"/>
      <c r="AA68" s="1410" t="s">
        <v>45</v>
      </c>
      <c r="AB68" s="1538"/>
      <c r="AC68" s="1410" t="s">
        <v>10</v>
      </c>
      <c r="AD68" s="1538"/>
      <c r="AE68" s="1410" t="s">
        <v>2188</v>
      </c>
      <c r="AF68" s="1410" t="s">
        <v>24</v>
      </c>
      <c r="AG68" s="1410" t="str">
        <f>IF(X68&gt;=1,(AB68*12+AD68)-(X68*12+Z68)+1,"")</f>
        <v/>
      </c>
      <c r="AH68" s="1412" t="s">
        <v>38</v>
      </c>
      <c r="AI68" s="1414" t="str">
        <f t="shared" ref="AI68" si="47">IFERROR(ROUNDDOWN(ROUND(L66*V68,0)*M66,0)*AG68,"")</f>
        <v/>
      </c>
      <c r="AJ68" s="1578" t="str">
        <f>IFERROR(ROUNDDOWN(ROUND((L66*(V68-AX66)),0)*M66,0)*AG68,"")</f>
        <v/>
      </c>
      <c r="AK68" s="1497" t="str">
        <f>IFERROR(ROUNDDOWN(ROUNDDOWN(ROUND(L66*VLOOKUP(K66,【参考】数式用!$A$5:$AB$27,MATCH("新加算Ⅳ",【参考】数式用!$B$4:$AB$4,0)+1,0),0)*M66,0)*AG68*0.5,0),"")</f>
        <v/>
      </c>
      <c r="AL68" s="1580"/>
      <c r="AM68" s="1588" t="str">
        <f>IFERROR(IF('別紙様式2-2（４・５月分）'!Q55="ベア加算","", IF(OR(U68="新加算Ⅰ",U68="新加算Ⅱ",U68="新加算Ⅲ",U68="新加算Ⅳ"),ROUNDDOWN(ROUND(L66*VLOOKUP(K66,【参考】数式用!$A$5:$I$27,MATCH("ベア加算",【参考】数式用!$B$4:$I$4,0)+1,0),0)*M66,0)*AG68,"")),"")</f>
        <v/>
      </c>
      <c r="AN68" s="1544"/>
      <c r="AO68" s="1536"/>
      <c r="AP68" s="1548"/>
      <c r="AQ68" s="1536"/>
      <c r="AR68" s="1550"/>
      <c r="AS68" s="1552"/>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71"/>
      <c r="V69" s="1467"/>
      <c r="W69" s="1469"/>
      <c r="X69" s="1539"/>
      <c r="Y69" s="1411"/>
      <c r="Z69" s="1539"/>
      <c r="AA69" s="1411"/>
      <c r="AB69" s="1539"/>
      <c r="AC69" s="1411"/>
      <c r="AD69" s="1539"/>
      <c r="AE69" s="1411"/>
      <c r="AF69" s="1411"/>
      <c r="AG69" s="1411"/>
      <c r="AH69" s="1413"/>
      <c r="AI69" s="1415"/>
      <c r="AJ69" s="1579"/>
      <c r="AK69" s="1498"/>
      <c r="AL69" s="1581"/>
      <c r="AM69" s="1589"/>
      <c r="AN69" s="1545"/>
      <c r="AO69" s="1537"/>
      <c r="AP69" s="1549"/>
      <c r="AQ69" s="1537"/>
      <c r="AR69" s="1551"/>
      <c r="AS69" s="1553"/>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2275</v>
      </c>
      <c r="U70" s="1562" t="str">
        <f>IF('別紙様式2-3（６月以降分）'!U70="","",'別紙様式2-3（６月以降分）'!U70)</f>
        <v/>
      </c>
      <c r="V70" s="1460" t="str">
        <f>IFERROR(VLOOKUP(K70,【参考】数式用!$A$5:$AB$27,MATCH(U70,【参考】数式用!$B$4:$AB$4,0)+1,0),"")</f>
        <v/>
      </c>
      <c r="W70" s="1353" t="s">
        <v>19</v>
      </c>
      <c r="X70" s="1554">
        <f>'別紙様式2-3（６月以降分）'!X70</f>
        <v>6</v>
      </c>
      <c r="Y70" s="1357" t="s">
        <v>10</v>
      </c>
      <c r="Z70" s="1554">
        <f>'別紙様式2-3（６月以降分）'!Z70</f>
        <v>6</v>
      </c>
      <c r="AA70" s="1357" t="s">
        <v>45</v>
      </c>
      <c r="AB70" s="1554">
        <f>'別紙様式2-3（６月以降分）'!AB70</f>
        <v>7</v>
      </c>
      <c r="AC70" s="1357" t="s">
        <v>10</v>
      </c>
      <c r="AD70" s="1554">
        <f>'別紙様式2-3（６月以降分）'!AD70</f>
        <v>3</v>
      </c>
      <c r="AE70" s="1357" t="s">
        <v>2188</v>
      </c>
      <c r="AF70" s="1357" t="s">
        <v>24</v>
      </c>
      <c r="AG70" s="1357">
        <f>IF(X70&gt;=1,(AB70*12+AD70)-(X70*12+Z70)+1,"")</f>
        <v>10</v>
      </c>
      <c r="AH70" s="1363" t="s">
        <v>38</v>
      </c>
      <c r="AI70" s="1484" t="str">
        <f>'別紙様式2-3（６月以降分）'!AI70</f>
        <v/>
      </c>
      <c r="AJ70" s="1556" t="str">
        <f>'別紙様式2-3（６月以降分）'!AJ70</f>
        <v/>
      </c>
      <c r="AK70" s="1584">
        <f>'別紙様式2-3（６月以降分）'!AK70</f>
        <v>0</v>
      </c>
      <c r="AL70" s="1560" t="str">
        <f>IF('別紙様式2-3（６月以降分）'!AL70="","",'別紙様式2-3（６月以降分）'!AL70)</f>
        <v/>
      </c>
      <c r="AM70" s="1572">
        <f>'別紙様式2-3（６月以降分）'!AM70</f>
        <v>0</v>
      </c>
      <c r="AN70" s="1574"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3"/>
      <c r="V71" s="1461"/>
      <c r="W71" s="1354"/>
      <c r="X71" s="1555"/>
      <c r="Y71" s="1358"/>
      <c r="Z71" s="1555"/>
      <c r="AA71" s="1358"/>
      <c r="AB71" s="1555"/>
      <c r="AC71" s="1358"/>
      <c r="AD71" s="1555"/>
      <c r="AE71" s="1358"/>
      <c r="AF71" s="1358"/>
      <c r="AG71" s="1358"/>
      <c r="AH71" s="1364"/>
      <c r="AI71" s="1485"/>
      <c r="AJ71" s="1557"/>
      <c r="AK71" s="1585"/>
      <c r="AL71" s="1561"/>
      <c r="AM71" s="1573"/>
      <c r="AN71" s="1575"/>
      <c r="AO71" s="1407"/>
      <c r="AP71" s="1567"/>
      <c r="AQ71" s="1407"/>
      <c r="AR71" s="1587"/>
      <c r="AS71" s="1569"/>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2196</v>
      </c>
      <c r="Q72" s="1507" t="str">
        <f>IFERROR(VLOOKUP('別紙様式2-2（４・５月分）'!AR56,【参考】数式用!$AT$5:$AV$22,3,FALSE),"")</f>
        <v/>
      </c>
      <c r="R72" s="1391" t="s">
        <v>2207</v>
      </c>
      <c r="S72" s="1399" t="str">
        <f>IFERROR(VLOOKUP(K70,【参考】数式用!$A$5:$AB$27,MATCH(Q72,【参考】数式用!$B$4:$AB$4,0)+1,0),"")</f>
        <v/>
      </c>
      <c r="T72" s="1462" t="s">
        <v>2285</v>
      </c>
      <c r="U72" s="1570"/>
      <c r="V72" s="1466" t="str">
        <f>IFERROR(VLOOKUP(K70,【参考】数式用!$A$5:$AB$27,MATCH(U72,【参考】数式用!$B$4:$AB$4,0)+1,0),"")</f>
        <v/>
      </c>
      <c r="W72" s="1468" t="s">
        <v>19</v>
      </c>
      <c r="X72" s="1538"/>
      <c r="Y72" s="1410" t="s">
        <v>10</v>
      </c>
      <c r="Z72" s="1538"/>
      <c r="AA72" s="1410" t="s">
        <v>45</v>
      </c>
      <c r="AB72" s="1538"/>
      <c r="AC72" s="1410" t="s">
        <v>10</v>
      </c>
      <c r="AD72" s="1538"/>
      <c r="AE72" s="1410" t="s">
        <v>2188</v>
      </c>
      <c r="AF72" s="1410" t="s">
        <v>24</v>
      </c>
      <c r="AG72" s="1410" t="str">
        <f>IF(X72&gt;=1,(AB72*12+AD72)-(X72*12+Z72)+1,"")</f>
        <v/>
      </c>
      <c r="AH72" s="1412" t="s">
        <v>38</v>
      </c>
      <c r="AI72" s="1414" t="str">
        <f t="shared" ref="AI72" si="51">IFERROR(ROUNDDOWN(ROUND(L70*V72,0)*M70,0)*AG72,"")</f>
        <v/>
      </c>
      <c r="AJ72" s="1578" t="str">
        <f>IFERROR(ROUNDDOWN(ROUND((L70*(V72-AX70)),0)*M70,0)*AG72,"")</f>
        <v/>
      </c>
      <c r="AK72" s="1497" t="str">
        <f>IFERROR(ROUNDDOWN(ROUNDDOWN(ROUND(L70*VLOOKUP(K70,【参考】数式用!$A$5:$AB$27,MATCH("新加算Ⅳ",【参考】数式用!$B$4:$AB$4,0)+1,0),0)*M70,0)*AG72*0.5,0),"")</f>
        <v/>
      </c>
      <c r="AL72" s="1580"/>
      <c r="AM72" s="1588" t="str">
        <f>IFERROR(IF('別紙様式2-2（４・５月分）'!Q58="ベア加算","", IF(OR(U72="新加算Ⅰ",U72="新加算Ⅱ",U72="新加算Ⅲ",U72="新加算Ⅳ"),ROUNDDOWN(ROUND(L70*VLOOKUP(K70,【参考】数式用!$A$5:$I$27,MATCH("ベア加算",【参考】数式用!$B$4:$I$4,0)+1,0),0)*M70,0)*AG72,"")),"")</f>
        <v/>
      </c>
      <c r="AN72" s="1544"/>
      <c r="AO72" s="1536"/>
      <c r="AP72" s="1548"/>
      <c r="AQ72" s="1536"/>
      <c r="AR72" s="1550"/>
      <c r="AS72" s="1552"/>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71"/>
      <c r="V73" s="1467"/>
      <c r="W73" s="1469"/>
      <c r="X73" s="1539"/>
      <c r="Y73" s="1411"/>
      <c r="Z73" s="1539"/>
      <c r="AA73" s="1411"/>
      <c r="AB73" s="1539"/>
      <c r="AC73" s="1411"/>
      <c r="AD73" s="1539"/>
      <c r="AE73" s="1411"/>
      <c r="AF73" s="1411"/>
      <c r="AG73" s="1411"/>
      <c r="AH73" s="1413"/>
      <c r="AI73" s="1415"/>
      <c r="AJ73" s="1579"/>
      <c r="AK73" s="1498"/>
      <c r="AL73" s="1581"/>
      <c r="AM73" s="1589"/>
      <c r="AN73" s="1545"/>
      <c r="AO73" s="1537"/>
      <c r="AP73" s="1549"/>
      <c r="AQ73" s="1537"/>
      <c r="AR73" s="1551"/>
      <c r="AS73" s="1553"/>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2275</v>
      </c>
      <c r="U74" s="1562" t="str">
        <f>IF('別紙様式2-3（６月以降分）'!U74="","",'別紙様式2-3（６月以降分）'!U74)</f>
        <v/>
      </c>
      <c r="V74" s="1460" t="str">
        <f>IFERROR(VLOOKUP(K74,【参考】数式用!$A$5:$AB$27,MATCH(U74,【参考】数式用!$B$4:$AB$4,0)+1,0),"")</f>
        <v/>
      </c>
      <c r="W74" s="1353" t="s">
        <v>19</v>
      </c>
      <c r="X74" s="1554">
        <f>'別紙様式2-3（６月以降分）'!X74</f>
        <v>6</v>
      </c>
      <c r="Y74" s="1357" t="s">
        <v>10</v>
      </c>
      <c r="Z74" s="1554">
        <f>'別紙様式2-3（６月以降分）'!Z74</f>
        <v>6</v>
      </c>
      <c r="AA74" s="1357" t="s">
        <v>45</v>
      </c>
      <c r="AB74" s="1554">
        <f>'別紙様式2-3（６月以降分）'!AB74</f>
        <v>7</v>
      </c>
      <c r="AC74" s="1357" t="s">
        <v>10</v>
      </c>
      <c r="AD74" s="1554">
        <f>'別紙様式2-3（６月以降分）'!AD74</f>
        <v>3</v>
      </c>
      <c r="AE74" s="1357" t="s">
        <v>2188</v>
      </c>
      <c r="AF74" s="1357" t="s">
        <v>24</v>
      </c>
      <c r="AG74" s="1357">
        <f>IF(X74&gt;=1,(AB74*12+AD74)-(X74*12+Z74)+1,"")</f>
        <v>10</v>
      </c>
      <c r="AH74" s="1363" t="s">
        <v>38</v>
      </c>
      <c r="AI74" s="1484" t="str">
        <f>'別紙様式2-3（６月以降分）'!AI74</f>
        <v/>
      </c>
      <c r="AJ74" s="1556" t="str">
        <f>'別紙様式2-3（６月以降分）'!AJ74</f>
        <v/>
      </c>
      <c r="AK74" s="1584">
        <f>'別紙様式2-3（６月以降分）'!AK74</f>
        <v>0</v>
      </c>
      <c r="AL74" s="1560" t="str">
        <f>IF('別紙様式2-3（６月以降分）'!AL74="","",'別紙様式2-3（６月以降分）'!AL74)</f>
        <v/>
      </c>
      <c r="AM74" s="1572">
        <f>'別紙様式2-3（６月以降分）'!AM74</f>
        <v>0</v>
      </c>
      <c r="AN74" s="1574"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3"/>
      <c r="V75" s="1461"/>
      <c r="W75" s="1354"/>
      <c r="X75" s="1555"/>
      <c r="Y75" s="1358"/>
      <c r="Z75" s="1555"/>
      <c r="AA75" s="1358"/>
      <c r="AB75" s="1555"/>
      <c r="AC75" s="1358"/>
      <c r="AD75" s="1555"/>
      <c r="AE75" s="1358"/>
      <c r="AF75" s="1358"/>
      <c r="AG75" s="1358"/>
      <c r="AH75" s="1364"/>
      <c r="AI75" s="1485"/>
      <c r="AJ75" s="1557"/>
      <c r="AK75" s="1585"/>
      <c r="AL75" s="1561"/>
      <c r="AM75" s="1573"/>
      <c r="AN75" s="1575"/>
      <c r="AO75" s="1407"/>
      <c r="AP75" s="1567"/>
      <c r="AQ75" s="1407"/>
      <c r="AR75" s="1587"/>
      <c r="AS75" s="1569"/>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2196</v>
      </c>
      <c r="Q76" s="1507" t="str">
        <f>IFERROR(VLOOKUP('別紙様式2-2（４・５月分）'!AR59,【参考】数式用!$AT$5:$AV$22,3,FALSE),"")</f>
        <v/>
      </c>
      <c r="R76" s="1391" t="s">
        <v>2207</v>
      </c>
      <c r="S76" s="1397" t="str">
        <f>IFERROR(VLOOKUP(K74,【参考】数式用!$A$5:$AB$27,MATCH(Q76,【参考】数式用!$B$4:$AB$4,0)+1,0),"")</f>
        <v/>
      </c>
      <c r="T76" s="1462" t="s">
        <v>2285</v>
      </c>
      <c r="U76" s="1570"/>
      <c r="V76" s="1466" t="str">
        <f>IFERROR(VLOOKUP(K74,【参考】数式用!$A$5:$AB$27,MATCH(U76,【参考】数式用!$B$4:$AB$4,0)+1,0),"")</f>
        <v/>
      </c>
      <c r="W76" s="1468" t="s">
        <v>19</v>
      </c>
      <c r="X76" s="1538"/>
      <c r="Y76" s="1410" t="s">
        <v>10</v>
      </c>
      <c r="Z76" s="1538"/>
      <c r="AA76" s="1410" t="s">
        <v>45</v>
      </c>
      <c r="AB76" s="1538"/>
      <c r="AC76" s="1410" t="s">
        <v>10</v>
      </c>
      <c r="AD76" s="1538"/>
      <c r="AE76" s="1410" t="s">
        <v>2188</v>
      </c>
      <c r="AF76" s="1410" t="s">
        <v>24</v>
      </c>
      <c r="AG76" s="1410" t="str">
        <f>IF(X76&gt;=1,(AB76*12+AD76)-(X76*12+Z76)+1,"")</f>
        <v/>
      </c>
      <c r="AH76" s="1412" t="s">
        <v>38</v>
      </c>
      <c r="AI76" s="1414" t="str">
        <f t="shared" ref="AI76" si="55">IFERROR(ROUNDDOWN(ROUND(L74*V76,0)*M74,0)*AG76,"")</f>
        <v/>
      </c>
      <c r="AJ76" s="1578" t="str">
        <f>IFERROR(ROUNDDOWN(ROUND((L74*(V76-AX74)),0)*M74,0)*AG76,"")</f>
        <v/>
      </c>
      <c r="AK76" s="1497" t="str">
        <f>IFERROR(ROUNDDOWN(ROUNDDOWN(ROUND(L74*VLOOKUP(K74,【参考】数式用!$A$5:$AB$27,MATCH("新加算Ⅳ",【参考】数式用!$B$4:$AB$4,0)+1,0),0)*M74,0)*AG76*0.5,0),"")</f>
        <v/>
      </c>
      <c r="AL76" s="1580"/>
      <c r="AM76" s="1588" t="str">
        <f>IFERROR(IF('別紙様式2-2（４・５月分）'!Q61="ベア加算","", IF(OR(U76="新加算Ⅰ",U76="新加算Ⅱ",U76="新加算Ⅲ",U76="新加算Ⅳ"),ROUNDDOWN(ROUND(L74*VLOOKUP(K74,【参考】数式用!$A$5:$I$27,MATCH("ベア加算",【参考】数式用!$B$4:$I$4,0)+1,0),0)*M74,0)*AG76,"")),"")</f>
        <v/>
      </c>
      <c r="AN76" s="1544"/>
      <c r="AO76" s="1536"/>
      <c r="AP76" s="1548"/>
      <c r="AQ76" s="1536"/>
      <c r="AR76" s="1550"/>
      <c r="AS76" s="1552"/>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71"/>
      <c r="V77" s="1467"/>
      <c r="W77" s="1469"/>
      <c r="X77" s="1539"/>
      <c r="Y77" s="1411"/>
      <c r="Z77" s="1539"/>
      <c r="AA77" s="1411"/>
      <c r="AB77" s="1539"/>
      <c r="AC77" s="1411"/>
      <c r="AD77" s="1539"/>
      <c r="AE77" s="1411"/>
      <c r="AF77" s="1411"/>
      <c r="AG77" s="1411"/>
      <c r="AH77" s="1413"/>
      <c r="AI77" s="1415"/>
      <c r="AJ77" s="1579"/>
      <c r="AK77" s="1498"/>
      <c r="AL77" s="1581"/>
      <c r="AM77" s="1589"/>
      <c r="AN77" s="1545"/>
      <c r="AO77" s="1537"/>
      <c r="AP77" s="1549"/>
      <c r="AQ77" s="1537"/>
      <c r="AR77" s="1551"/>
      <c r="AS77" s="1553"/>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2275</v>
      </c>
      <c r="U78" s="1562" t="str">
        <f>IF('別紙様式2-3（６月以降分）'!U78="","",'別紙様式2-3（６月以降分）'!U78)</f>
        <v/>
      </c>
      <c r="V78" s="1460" t="str">
        <f>IFERROR(VLOOKUP(K78,【参考】数式用!$A$5:$AB$27,MATCH(U78,【参考】数式用!$B$4:$AB$4,0)+1,0),"")</f>
        <v/>
      </c>
      <c r="W78" s="1353" t="s">
        <v>19</v>
      </c>
      <c r="X78" s="1554">
        <f>'別紙様式2-3（６月以降分）'!X78</f>
        <v>6</v>
      </c>
      <c r="Y78" s="1357" t="s">
        <v>10</v>
      </c>
      <c r="Z78" s="1554">
        <f>'別紙様式2-3（６月以降分）'!Z78</f>
        <v>6</v>
      </c>
      <c r="AA78" s="1357" t="s">
        <v>45</v>
      </c>
      <c r="AB78" s="1554">
        <f>'別紙様式2-3（６月以降分）'!AB78</f>
        <v>7</v>
      </c>
      <c r="AC78" s="1357" t="s">
        <v>10</v>
      </c>
      <c r="AD78" s="1554">
        <f>'別紙様式2-3（６月以降分）'!AD78</f>
        <v>3</v>
      </c>
      <c r="AE78" s="1357" t="s">
        <v>2188</v>
      </c>
      <c r="AF78" s="1357" t="s">
        <v>24</v>
      </c>
      <c r="AG78" s="1357">
        <f>IF(X78&gt;=1,(AB78*12+AD78)-(X78*12+Z78)+1,"")</f>
        <v>10</v>
      </c>
      <c r="AH78" s="1363" t="s">
        <v>38</v>
      </c>
      <c r="AI78" s="1484" t="str">
        <f>'別紙様式2-3（６月以降分）'!AI78</f>
        <v/>
      </c>
      <c r="AJ78" s="1556" t="str">
        <f>'別紙様式2-3（６月以降分）'!AJ78</f>
        <v/>
      </c>
      <c r="AK78" s="1584">
        <f>'別紙様式2-3（６月以降分）'!AK78</f>
        <v>0</v>
      </c>
      <c r="AL78" s="1560" t="str">
        <f>IF('別紙様式2-3（６月以降分）'!AL78="","",'別紙様式2-3（６月以降分）'!AL78)</f>
        <v/>
      </c>
      <c r="AM78" s="1572">
        <f>'別紙様式2-3（６月以降分）'!AM78</f>
        <v>0</v>
      </c>
      <c r="AN78" s="1574"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3"/>
      <c r="V79" s="1461"/>
      <c r="W79" s="1354"/>
      <c r="X79" s="1555"/>
      <c r="Y79" s="1358"/>
      <c r="Z79" s="1555"/>
      <c r="AA79" s="1358"/>
      <c r="AB79" s="1555"/>
      <c r="AC79" s="1358"/>
      <c r="AD79" s="1555"/>
      <c r="AE79" s="1358"/>
      <c r="AF79" s="1358"/>
      <c r="AG79" s="1358"/>
      <c r="AH79" s="1364"/>
      <c r="AI79" s="1485"/>
      <c r="AJ79" s="1557"/>
      <c r="AK79" s="1585"/>
      <c r="AL79" s="1561"/>
      <c r="AM79" s="1573"/>
      <c r="AN79" s="1575"/>
      <c r="AO79" s="1407"/>
      <c r="AP79" s="1567"/>
      <c r="AQ79" s="1407"/>
      <c r="AR79" s="1587"/>
      <c r="AS79" s="1569"/>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2196</v>
      </c>
      <c r="Q80" s="1507" t="str">
        <f>IFERROR(VLOOKUP('別紙様式2-2（４・５月分）'!AR62,【参考】数式用!$AT$5:$AV$22,3,FALSE),"")</f>
        <v/>
      </c>
      <c r="R80" s="1391" t="s">
        <v>2207</v>
      </c>
      <c r="S80" s="1399" t="str">
        <f>IFERROR(VLOOKUP(K78,【参考】数式用!$A$5:$AB$27,MATCH(Q80,【参考】数式用!$B$4:$AB$4,0)+1,0),"")</f>
        <v/>
      </c>
      <c r="T80" s="1462" t="s">
        <v>2285</v>
      </c>
      <c r="U80" s="1570"/>
      <c r="V80" s="1466" t="str">
        <f>IFERROR(VLOOKUP(K78,【参考】数式用!$A$5:$AB$27,MATCH(U80,【参考】数式用!$B$4:$AB$4,0)+1,0),"")</f>
        <v/>
      </c>
      <c r="W80" s="1468" t="s">
        <v>19</v>
      </c>
      <c r="X80" s="1538"/>
      <c r="Y80" s="1410" t="s">
        <v>10</v>
      </c>
      <c r="Z80" s="1538"/>
      <c r="AA80" s="1410" t="s">
        <v>45</v>
      </c>
      <c r="AB80" s="1538"/>
      <c r="AC80" s="1410" t="s">
        <v>10</v>
      </c>
      <c r="AD80" s="1538"/>
      <c r="AE80" s="1410" t="s">
        <v>2188</v>
      </c>
      <c r="AF80" s="1410" t="s">
        <v>24</v>
      </c>
      <c r="AG80" s="1410" t="str">
        <f>IF(X80&gt;=1,(AB80*12+AD80)-(X80*12+Z80)+1,"")</f>
        <v/>
      </c>
      <c r="AH80" s="1412" t="s">
        <v>38</v>
      </c>
      <c r="AI80" s="1414" t="str">
        <f t="shared" ref="AI80" si="59">IFERROR(ROUNDDOWN(ROUND(L78*V80,0)*M78,0)*AG80,"")</f>
        <v/>
      </c>
      <c r="AJ80" s="1578" t="str">
        <f>IFERROR(ROUNDDOWN(ROUND((L78*(V80-AX78)),0)*M78,0)*AG80,"")</f>
        <v/>
      </c>
      <c r="AK80" s="1497" t="str">
        <f>IFERROR(ROUNDDOWN(ROUNDDOWN(ROUND(L78*VLOOKUP(K78,【参考】数式用!$A$5:$AB$27,MATCH("新加算Ⅳ",【参考】数式用!$B$4:$AB$4,0)+1,0),0)*M78,0)*AG80*0.5,0),"")</f>
        <v/>
      </c>
      <c r="AL80" s="1580"/>
      <c r="AM80" s="1588" t="str">
        <f>IFERROR(IF('別紙様式2-2（４・５月分）'!Q64="ベア加算","", IF(OR(U80="新加算Ⅰ",U80="新加算Ⅱ",U80="新加算Ⅲ",U80="新加算Ⅳ"),ROUNDDOWN(ROUND(L78*VLOOKUP(K78,【参考】数式用!$A$5:$I$27,MATCH("ベア加算",【参考】数式用!$B$4:$I$4,0)+1,0),0)*M78,0)*AG80,"")),"")</f>
        <v/>
      </c>
      <c r="AN80" s="1544"/>
      <c r="AO80" s="1536"/>
      <c r="AP80" s="1548"/>
      <c r="AQ80" s="1536"/>
      <c r="AR80" s="1550"/>
      <c r="AS80" s="1552"/>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71"/>
      <c r="V81" s="1467"/>
      <c r="W81" s="1469"/>
      <c r="X81" s="1539"/>
      <c r="Y81" s="1411"/>
      <c r="Z81" s="1539"/>
      <c r="AA81" s="1411"/>
      <c r="AB81" s="1539"/>
      <c r="AC81" s="1411"/>
      <c r="AD81" s="1539"/>
      <c r="AE81" s="1411"/>
      <c r="AF81" s="1411"/>
      <c r="AG81" s="1411"/>
      <c r="AH81" s="1413"/>
      <c r="AI81" s="1415"/>
      <c r="AJ81" s="1579"/>
      <c r="AK81" s="1498"/>
      <c r="AL81" s="1581"/>
      <c r="AM81" s="1589"/>
      <c r="AN81" s="1545"/>
      <c r="AO81" s="1537"/>
      <c r="AP81" s="1549"/>
      <c r="AQ81" s="1537"/>
      <c r="AR81" s="1551"/>
      <c r="AS81" s="1553"/>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2275</v>
      </c>
      <c r="U82" s="1562" t="str">
        <f>IF('別紙様式2-3（６月以降分）'!U82="","",'別紙様式2-3（６月以降分）'!U82)</f>
        <v/>
      </c>
      <c r="V82" s="1460" t="str">
        <f>IFERROR(VLOOKUP(K82,【参考】数式用!$A$5:$AB$27,MATCH(U82,【参考】数式用!$B$4:$AB$4,0)+1,0),"")</f>
        <v/>
      </c>
      <c r="W82" s="1353" t="s">
        <v>19</v>
      </c>
      <c r="X82" s="1554">
        <f>'別紙様式2-3（６月以降分）'!X82</f>
        <v>6</v>
      </c>
      <c r="Y82" s="1357" t="s">
        <v>10</v>
      </c>
      <c r="Z82" s="1554">
        <f>'別紙様式2-3（６月以降分）'!Z82</f>
        <v>6</v>
      </c>
      <c r="AA82" s="1357" t="s">
        <v>45</v>
      </c>
      <c r="AB82" s="1554">
        <f>'別紙様式2-3（６月以降分）'!AB82</f>
        <v>7</v>
      </c>
      <c r="AC82" s="1357" t="s">
        <v>10</v>
      </c>
      <c r="AD82" s="1554">
        <f>'別紙様式2-3（６月以降分）'!AD82</f>
        <v>3</v>
      </c>
      <c r="AE82" s="1357" t="s">
        <v>2188</v>
      </c>
      <c r="AF82" s="1357" t="s">
        <v>24</v>
      </c>
      <c r="AG82" s="1357">
        <f>IF(X82&gt;=1,(AB82*12+AD82)-(X82*12+Z82)+1,"")</f>
        <v>10</v>
      </c>
      <c r="AH82" s="1363" t="s">
        <v>38</v>
      </c>
      <c r="AI82" s="1484" t="str">
        <f>'別紙様式2-3（６月以降分）'!AI82</f>
        <v/>
      </c>
      <c r="AJ82" s="1556" t="str">
        <f>'別紙様式2-3（６月以降分）'!AJ82</f>
        <v/>
      </c>
      <c r="AK82" s="1584">
        <f>'別紙様式2-3（６月以降分）'!AK82</f>
        <v>0</v>
      </c>
      <c r="AL82" s="1560" t="str">
        <f>IF('別紙様式2-3（６月以降分）'!AL82="","",'別紙様式2-3（６月以降分）'!AL82)</f>
        <v/>
      </c>
      <c r="AM82" s="1572">
        <f>'別紙様式2-3（６月以降分）'!AM82</f>
        <v>0</v>
      </c>
      <c r="AN82" s="1574"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3"/>
      <c r="V83" s="1461"/>
      <c r="W83" s="1354"/>
      <c r="X83" s="1555"/>
      <c r="Y83" s="1358"/>
      <c r="Z83" s="1555"/>
      <c r="AA83" s="1358"/>
      <c r="AB83" s="1555"/>
      <c r="AC83" s="1358"/>
      <c r="AD83" s="1555"/>
      <c r="AE83" s="1358"/>
      <c r="AF83" s="1358"/>
      <c r="AG83" s="1358"/>
      <c r="AH83" s="1364"/>
      <c r="AI83" s="1485"/>
      <c r="AJ83" s="1557"/>
      <c r="AK83" s="1585"/>
      <c r="AL83" s="1561"/>
      <c r="AM83" s="1573"/>
      <c r="AN83" s="1575"/>
      <c r="AO83" s="1407"/>
      <c r="AP83" s="1567"/>
      <c r="AQ83" s="1407"/>
      <c r="AR83" s="1587"/>
      <c r="AS83" s="1569"/>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2196</v>
      </c>
      <c r="Q84" s="1507" t="str">
        <f>IFERROR(VLOOKUP('別紙様式2-2（４・５月分）'!AR65,【参考】数式用!$AT$5:$AV$22,3,FALSE),"")</f>
        <v/>
      </c>
      <c r="R84" s="1391" t="s">
        <v>2207</v>
      </c>
      <c r="S84" s="1397" t="str">
        <f>IFERROR(VLOOKUP(K82,【参考】数式用!$A$5:$AB$27,MATCH(Q84,【参考】数式用!$B$4:$AB$4,0)+1,0),"")</f>
        <v/>
      </c>
      <c r="T84" s="1462" t="s">
        <v>2285</v>
      </c>
      <c r="U84" s="1570"/>
      <c r="V84" s="1466" t="str">
        <f>IFERROR(VLOOKUP(K82,【参考】数式用!$A$5:$AB$27,MATCH(U84,【参考】数式用!$B$4:$AB$4,0)+1,0),"")</f>
        <v/>
      </c>
      <c r="W84" s="1468" t="s">
        <v>19</v>
      </c>
      <c r="X84" s="1538"/>
      <c r="Y84" s="1410" t="s">
        <v>10</v>
      </c>
      <c r="Z84" s="1538"/>
      <c r="AA84" s="1410" t="s">
        <v>45</v>
      </c>
      <c r="AB84" s="1538"/>
      <c r="AC84" s="1410" t="s">
        <v>10</v>
      </c>
      <c r="AD84" s="1538"/>
      <c r="AE84" s="1410" t="s">
        <v>2188</v>
      </c>
      <c r="AF84" s="1410" t="s">
        <v>24</v>
      </c>
      <c r="AG84" s="1410" t="str">
        <f>IF(X84&gt;=1,(AB84*12+AD84)-(X84*12+Z84)+1,"")</f>
        <v/>
      </c>
      <c r="AH84" s="1412" t="s">
        <v>38</v>
      </c>
      <c r="AI84" s="1414" t="str">
        <f t="shared" ref="AI84" si="63">IFERROR(ROUNDDOWN(ROUND(L82*V84,0)*M82,0)*AG84,"")</f>
        <v/>
      </c>
      <c r="AJ84" s="1578" t="str">
        <f>IFERROR(ROUNDDOWN(ROUND((L82*(V84-AX82)),0)*M82,0)*AG84,"")</f>
        <v/>
      </c>
      <c r="AK84" s="1497" t="str">
        <f>IFERROR(ROUNDDOWN(ROUNDDOWN(ROUND(L82*VLOOKUP(K82,【参考】数式用!$A$5:$AB$27,MATCH("新加算Ⅳ",【参考】数式用!$B$4:$AB$4,0)+1,0),0)*M82,0)*AG84*0.5,0),"")</f>
        <v/>
      </c>
      <c r="AL84" s="1580"/>
      <c r="AM84" s="1588" t="str">
        <f>IFERROR(IF('別紙様式2-2（４・５月分）'!Q67="ベア加算","", IF(OR(U84="新加算Ⅰ",U84="新加算Ⅱ",U84="新加算Ⅲ",U84="新加算Ⅳ"),ROUNDDOWN(ROUND(L82*VLOOKUP(K82,【参考】数式用!$A$5:$I$27,MATCH("ベア加算",【参考】数式用!$B$4:$I$4,0)+1,0),0)*M82,0)*AG84,"")),"")</f>
        <v/>
      </c>
      <c r="AN84" s="1544"/>
      <c r="AO84" s="1536"/>
      <c r="AP84" s="1548"/>
      <c r="AQ84" s="1536"/>
      <c r="AR84" s="1550"/>
      <c r="AS84" s="1552"/>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71"/>
      <c r="V85" s="1467"/>
      <c r="W85" s="1469"/>
      <c r="X85" s="1539"/>
      <c r="Y85" s="1411"/>
      <c r="Z85" s="1539"/>
      <c r="AA85" s="1411"/>
      <c r="AB85" s="1539"/>
      <c r="AC85" s="1411"/>
      <c r="AD85" s="1539"/>
      <c r="AE85" s="1411"/>
      <c r="AF85" s="1411"/>
      <c r="AG85" s="1411"/>
      <c r="AH85" s="1413"/>
      <c r="AI85" s="1415"/>
      <c r="AJ85" s="1579"/>
      <c r="AK85" s="1498"/>
      <c r="AL85" s="1581"/>
      <c r="AM85" s="1589"/>
      <c r="AN85" s="1545"/>
      <c r="AO85" s="1537"/>
      <c r="AP85" s="1549"/>
      <c r="AQ85" s="1537"/>
      <c r="AR85" s="1551"/>
      <c r="AS85" s="1553"/>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2275</v>
      </c>
      <c r="U86" s="1562" t="str">
        <f>IF('別紙様式2-3（６月以降分）'!U86="","",'別紙様式2-3（６月以降分）'!U86)</f>
        <v/>
      </c>
      <c r="V86" s="1460" t="str">
        <f>IFERROR(VLOOKUP(K86,【参考】数式用!$A$5:$AB$27,MATCH(U86,【参考】数式用!$B$4:$AB$4,0)+1,0),"")</f>
        <v/>
      </c>
      <c r="W86" s="1353" t="s">
        <v>19</v>
      </c>
      <c r="X86" s="1554">
        <f>'別紙様式2-3（６月以降分）'!X86</f>
        <v>6</v>
      </c>
      <c r="Y86" s="1357" t="s">
        <v>10</v>
      </c>
      <c r="Z86" s="1554">
        <f>'別紙様式2-3（６月以降分）'!Z86</f>
        <v>6</v>
      </c>
      <c r="AA86" s="1357" t="s">
        <v>45</v>
      </c>
      <c r="AB86" s="1554">
        <f>'別紙様式2-3（６月以降分）'!AB86</f>
        <v>7</v>
      </c>
      <c r="AC86" s="1357" t="s">
        <v>10</v>
      </c>
      <c r="AD86" s="1554">
        <f>'別紙様式2-3（６月以降分）'!AD86</f>
        <v>3</v>
      </c>
      <c r="AE86" s="1357" t="s">
        <v>2188</v>
      </c>
      <c r="AF86" s="1357" t="s">
        <v>24</v>
      </c>
      <c r="AG86" s="1357">
        <f>IF(X86&gt;=1,(AB86*12+AD86)-(X86*12+Z86)+1,"")</f>
        <v>10</v>
      </c>
      <c r="AH86" s="1363" t="s">
        <v>38</v>
      </c>
      <c r="AI86" s="1484" t="str">
        <f>'別紙様式2-3（６月以降分）'!AI86</f>
        <v/>
      </c>
      <c r="AJ86" s="1556" t="str">
        <f>'別紙様式2-3（６月以降分）'!AJ86</f>
        <v/>
      </c>
      <c r="AK86" s="1584">
        <f>'別紙様式2-3（６月以降分）'!AK86</f>
        <v>0</v>
      </c>
      <c r="AL86" s="1560" t="str">
        <f>IF('別紙様式2-3（６月以降分）'!AL86="","",'別紙様式2-3（６月以降分）'!AL86)</f>
        <v/>
      </c>
      <c r="AM86" s="1572">
        <f>'別紙様式2-3（６月以降分）'!AM86</f>
        <v>0</v>
      </c>
      <c r="AN86" s="1574"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3"/>
      <c r="V87" s="1461"/>
      <c r="W87" s="1354"/>
      <c r="X87" s="1555"/>
      <c r="Y87" s="1358"/>
      <c r="Z87" s="1555"/>
      <c r="AA87" s="1358"/>
      <c r="AB87" s="1555"/>
      <c r="AC87" s="1358"/>
      <c r="AD87" s="1555"/>
      <c r="AE87" s="1358"/>
      <c r="AF87" s="1358"/>
      <c r="AG87" s="1358"/>
      <c r="AH87" s="1364"/>
      <c r="AI87" s="1485"/>
      <c r="AJ87" s="1557"/>
      <c r="AK87" s="1585"/>
      <c r="AL87" s="1561"/>
      <c r="AM87" s="1573"/>
      <c r="AN87" s="1575"/>
      <c r="AO87" s="1407"/>
      <c r="AP87" s="1567"/>
      <c r="AQ87" s="1407"/>
      <c r="AR87" s="1587"/>
      <c r="AS87" s="1569"/>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2196</v>
      </c>
      <c r="Q88" s="1507" t="str">
        <f>IFERROR(VLOOKUP('別紙様式2-2（４・５月分）'!AR68,【参考】数式用!$AT$5:$AV$22,3,FALSE),"")</f>
        <v/>
      </c>
      <c r="R88" s="1391" t="s">
        <v>2207</v>
      </c>
      <c r="S88" s="1399" t="str">
        <f>IFERROR(VLOOKUP(K86,【参考】数式用!$A$5:$AB$27,MATCH(Q88,【参考】数式用!$B$4:$AB$4,0)+1,0),"")</f>
        <v/>
      </c>
      <c r="T88" s="1462" t="s">
        <v>2285</v>
      </c>
      <c r="U88" s="1570"/>
      <c r="V88" s="1466" t="str">
        <f>IFERROR(VLOOKUP(K86,【参考】数式用!$A$5:$AB$27,MATCH(U88,【参考】数式用!$B$4:$AB$4,0)+1,0),"")</f>
        <v/>
      </c>
      <c r="W88" s="1468" t="s">
        <v>19</v>
      </c>
      <c r="X88" s="1538"/>
      <c r="Y88" s="1410" t="s">
        <v>10</v>
      </c>
      <c r="Z88" s="1538"/>
      <c r="AA88" s="1410" t="s">
        <v>45</v>
      </c>
      <c r="AB88" s="1538"/>
      <c r="AC88" s="1410" t="s">
        <v>10</v>
      </c>
      <c r="AD88" s="1538"/>
      <c r="AE88" s="1410" t="s">
        <v>2188</v>
      </c>
      <c r="AF88" s="1410" t="s">
        <v>24</v>
      </c>
      <c r="AG88" s="1410" t="str">
        <f>IF(X88&gt;=1,(AB88*12+AD88)-(X88*12+Z88)+1,"")</f>
        <v/>
      </c>
      <c r="AH88" s="1412" t="s">
        <v>38</v>
      </c>
      <c r="AI88" s="1414" t="str">
        <f t="shared" ref="AI88" si="67">IFERROR(ROUNDDOWN(ROUND(L86*V88,0)*M86,0)*AG88,"")</f>
        <v/>
      </c>
      <c r="AJ88" s="1578" t="str">
        <f>IFERROR(ROUNDDOWN(ROUND((L86*(V88-AX86)),0)*M86,0)*AG88,"")</f>
        <v/>
      </c>
      <c r="AK88" s="1497" t="str">
        <f>IFERROR(ROUNDDOWN(ROUNDDOWN(ROUND(L86*VLOOKUP(K86,【参考】数式用!$A$5:$AB$27,MATCH("新加算Ⅳ",【参考】数式用!$B$4:$AB$4,0)+1,0),0)*M86,0)*AG88*0.5,0),"")</f>
        <v/>
      </c>
      <c r="AL88" s="1580"/>
      <c r="AM88" s="1588" t="str">
        <f>IFERROR(IF('別紙様式2-2（４・５月分）'!Q70="ベア加算","", IF(OR(U88="新加算Ⅰ",U88="新加算Ⅱ",U88="新加算Ⅲ",U88="新加算Ⅳ"),ROUNDDOWN(ROUND(L86*VLOOKUP(K86,【参考】数式用!$A$5:$I$27,MATCH("ベア加算",【参考】数式用!$B$4:$I$4,0)+1,0),0)*M86,0)*AG88,"")),"")</f>
        <v/>
      </c>
      <c r="AN88" s="1544"/>
      <c r="AO88" s="1536"/>
      <c r="AP88" s="1548"/>
      <c r="AQ88" s="1536"/>
      <c r="AR88" s="1550"/>
      <c r="AS88" s="1552"/>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71"/>
      <c r="V89" s="1467"/>
      <c r="W89" s="1469"/>
      <c r="X89" s="1539"/>
      <c r="Y89" s="1411"/>
      <c r="Z89" s="1539"/>
      <c r="AA89" s="1411"/>
      <c r="AB89" s="1539"/>
      <c r="AC89" s="1411"/>
      <c r="AD89" s="1539"/>
      <c r="AE89" s="1411"/>
      <c r="AF89" s="1411"/>
      <c r="AG89" s="1411"/>
      <c r="AH89" s="1413"/>
      <c r="AI89" s="1415"/>
      <c r="AJ89" s="1579"/>
      <c r="AK89" s="1498"/>
      <c r="AL89" s="1581"/>
      <c r="AM89" s="1589"/>
      <c r="AN89" s="1545"/>
      <c r="AO89" s="1537"/>
      <c r="AP89" s="1549"/>
      <c r="AQ89" s="1537"/>
      <c r="AR89" s="1551"/>
      <c r="AS89" s="1553"/>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2275</v>
      </c>
      <c r="U90" s="1562" t="str">
        <f>IF('別紙様式2-3（６月以降分）'!U90="","",'別紙様式2-3（６月以降分）'!U90)</f>
        <v/>
      </c>
      <c r="V90" s="1460" t="str">
        <f>IFERROR(VLOOKUP(K90,【参考】数式用!$A$5:$AB$27,MATCH(U90,【参考】数式用!$B$4:$AB$4,0)+1,0),"")</f>
        <v/>
      </c>
      <c r="W90" s="1353" t="s">
        <v>19</v>
      </c>
      <c r="X90" s="1554">
        <f>'別紙様式2-3（６月以降分）'!X90</f>
        <v>6</v>
      </c>
      <c r="Y90" s="1357" t="s">
        <v>10</v>
      </c>
      <c r="Z90" s="1554">
        <f>'別紙様式2-3（６月以降分）'!Z90</f>
        <v>6</v>
      </c>
      <c r="AA90" s="1357" t="s">
        <v>45</v>
      </c>
      <c r="AB90" s="1554">
        <f>'別紙様式2-3（６月以降分）'!AB90</f>
        <v>7</v>
      </c>
      <c r="AC90" s="1357" t="s">
        <v>10</v>
      </c>
      <c r="AD90" s="1554">
        <f>'別紙様式2-3（６月以降分）'!AD90</f>
        <v>3</v>
      </c>
      <c r="AE90" s="1357" t="s">
        <v>2188</v>
      </c>
      <c r="AF90" s="1357" t="s">
        <v>24</v>
      </c>
      <c r="AG90" s="1357">
        <f>IF(X90&gt;=1,(AB90*12+AD90)-(X90*12+Z90)+1,"")</f>
        <v>10</v>
      </c>
      <c r="AH90" s="1363" t="s">
        <v>38</v>
      </c>
      <c r="AI90" s="1484" t="str">
        <f>'別紙様式2-3（６月以降分）'!AI90</f>
        <v/>
      </c>
      <c r="AJ90" s="1556" t="str">
        <f>'別紙様式2-3（６月以降分）'!AJ90</f>
        <v/>
      </c>
      <c r="AK90" s="1584">
        <f>'別紙様式2-3（６月以降分）'!AK90</f>
        <v>0</v>
      </c>
      <c r="AL90" s="1560" t="str">
        <f>IF('別紙様式2-3（６月以降分）'!AL90="","",'別紙様式2-3（６月以降分）'!AL90)</f>
        <v/>
      </c>
      <c r="AM90" s="1572">
        <f>'別紙様式2-3（６月以降分）'!AM90</f>
        <v>0</v>
      </c>
      <c r="AN90" s="1574"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3"/>
      <c r="V91" s="1461"/>
      <c r="W91" s="1354"/>
      <c r="X91" s="1555"/>
      <c r="Y91" s="1358"/>
      <c r="Z91" s="1555"/>
      <c r="AA91" s="1358"/>
      <c r="AB91" s="1555"/>
      <c r="AC91" s="1358"/>
      <c r="AD91" s="1555"/>
      <c r="AE91" s="1358"/>
      <c r="AF91" s="1358"/>
      <c r="AG91" s="1358"/>
      <c r="AH91" s="1364"/>
      <c r="AI91" s="1485"/>
      <c r="AJ91" s="1557"/>
      <c r="AK91" s="1585"/>
      <c r="AL91" s="1561"/>
      <c r="AM91" s="1573"/>
      <c r="AN91" s="1575"/>
      <c r="AO91" s="1407"/>
      <c r="AP91" s="1567"/>
      <c r="AQ91" s="1407"/>
      <c r="AR91" s="1587"/>
      <c r="AS91" s="1569"/>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2196</v>
      </c>
      <c r="Q92" s="1507" t="str">
        <f>IFERROR(VLOOKUP('別紙様式2-2（４・５月分）'!AR71,【参考】数式用!$AT$5:$AV$22,3,FALSE),"")</f>
        <v/>
      </c>
      <c r="R92" s="1391" t="s">
        <v>2207</v>
      </c>
      <c r="S92" s="1397" t="str">
        <f>IFERROR(VLOOKUP(K90,【参考】数式用!$A$5:$AB$27,MATCH(Q92,【参考】数式用!$B$4:$AB$4,0)+1,0),"")</f>
        <v/>
      </c>
      <c r="T92" s="1462" t="s">
        <v>2285</v>
      </c>
      <c r="U92" s="1570"/>
      <c r="V92" s="1466" t="str">
        <f>IFERROR(VLOOKUP(K90,【参考】数式用!$A$5:$AB$27,MATCH(U92,【参考】数式用!$B$4:$AB$4,0)+1,0),"")</f>
        <v/>
      </c>
      <c r="W92" s="1468" t="s">
        <v>19</v>
      </c>
      <c r="X92" s="1538"/>
      <c r="Y92" s="1410" t="s">
        <v>10</v>
      </c>
      <c r="Z92" s="1538"/>
      <c r="AA92" s="1410" t="s">
        <v>45</v>
      </c>
      <c r="AB92" s="1538"/>
      <c r="AC92" s="1410" t="s">
        <v>10</v>
      </c>
      <c r="AD92" s="1538"/>
      <c r="AE92" s="1410" t="s">
        <v>2188</v>
      </c>
      <c r="AF92" s="1410" t="s">
        <v>24</v>
      </c>
      <c r="AG92" s="1410" t="str">
        <f>IF(X92&gt;=1,(AB92*12+AD92)-(X92*12+Z92)+1,"")</f>
        <v/>
      </c>
      <c r="AH92" s="1412" t="s">
        <v>38</v>
      </c>
      <c r="AI92" s="1414" t="str">
        <f t="shared" ref="AI92" si="71">IFERROR(ROUNDDOWN(ROUND(L90*V92,0)*M90,0)*AG92,"")</f>
        <v/>
      </c>
      <c r="AJ92" s="1578" t="str">
        <f>IFERROR(ROUNDDOWN(ROUND((L90*(V92-AX90)),0)*M90,0)*AG92,"")</f>
        <v/>
      </c>
      <c r="AK92" s="1497" t="str">
        <f>IFERROR(ROUNDDOWN(ROUNDDOWN(ROUND(L90*VLOOKUP(K90,【参考】数式用!$A$5:$AB$27,MATCH("新加算Ⅳ",【参考】数式用!$B$4:$AB$4,0)+1,0),0)*M90,0)*AG92*0.5,0),"")</f>
        <v/>
      </c>
      <c r="AL92" s="1580"/>
      <c r="AM92" s="1588" t="str">
        <f>IFERROR(IF('別紙様式2-2（４・５月分）'!Q73="ベア加算","", IF(OR(U92="新加算Ⅰ",U92="新加算Ⅱ",U92="新加算Ⅲ",U92="新加算Ⅳ"),ROUNDDOWN(ROUND(L90*VLOOKUP(K90,【参考】数式用!$A$5:$I$27,MATCH("ベア加算",【参考】数式用!$B$4:$I$4,0)+1,0),0)*M90,0)*AG92,"")),"")</f>
        <v/>
      </c>
      <c r="AN92" s="1544"/>
      <c r="AO92" s="1536"/>
      <c r="AP92" s="1548"/>
      <c r="AQ92" s="1536"/>
      <c r="AR92" s="1550"/>
      <c r="AS92" s="1552"/>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71"/>
      <c r="V93" s="1467"/>
      <c r="W93" s="1469"/>
      <c r="X93" s="1539"/>
      <c r="Y93" s="1411"/>
      <c r="Z93" s="1539"/>
      <c r="AA93" s="1411"/>
      <c r="AB93" s="1539"/>
      <c r="AC93" s="1411"/>
      <c r="AD93" s="1539"/>
      <c r="AE93" s="1411"/>
      <c r="AF93" s="1411"/>
      <c r="AG93" s="1411"/>
      <c r="AH93" s="1413"/>
      <c r="AI93" s="1415"/>
      <c r="AJ93" s="1579"/>
      <c r="AK93" s="1498"/>
      <c r="AL93" s="1581"/>
      <c r="AM93" s="1589"/>
      <c r="AN93" s="1545"/>
      <c r="AO93" s="1537"/>
      <c r="AP93" s="1549"/>
      <c r="AQ93" s="1537"/>
      <c r="AR93" s="1551"/>
      <c r="AS93" s="1553"/>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2275</v>
      </c>
      <c r="U94" s="1562" t="str">
        <f>IF('別紙様式2-3（６月以降分）'!U94="","",'別紙様式2-3（６月以降分）'!U94)</f>
        <v/>
      </c>
      <c r="V94" s="1460" t="str">
        <f>IFERROR(VLOOKUP(K94,【参考】数式用!$A$5:$AB$27,MATCH(U94,【参考】数式用!$B$4:$AB$4,0)+1,0),"")</f>
        <v/>
      </c>
      <c r="W94" s="1353" t="s">
        <v>19</v>
      </c>
      <c r="X94" s="1554">
        <f>'別紙様式2-3（６月以降分）'!X94</f>
        <v>6</v>
      </c>
      <c r="Y94" s="1357" t="s">
        <v>10</v>
      </c>
      <c r="Z94" s="1554">
        <f>'別紙様式2-3（６月以降分）'!Z94</f>
        <v>6</v>
      </c>
      <c r="AA94" s="1357" t="s">
        <v>45</v>
      </c>
      <c r="AB94" s="1554">
        <f>'別紙様式2-3（６月以降分）'!AB94</f>
        <v>7</v>
      </c>
      <c r="AC94" s="1357" t="s">
        <v>10</v>
      </c>
      <c r="AD94" s="1554">
        <f>'別紙様式2-3（６月以降分）'!AD94</f>
        <v>3</v>
      </c>
      <c r="AE94" s="1357" t="s">
        <v>2188</v>
      </c>
      <c r="AF94" s="1357" t="s">
        <v>24</v>
      </c>
      <c r="AG94" s="1357">
        <f>IF(X94&gt;=1,(AB94*12+AD94)-(X94*12+Z94)+1,"")</f>
        <v>10</v>
      </c>
      <c r="AH94" s="1363" t="s">
        <v>38</v>
      </c>
      <c r="AI94" s="1484" t="str">
        <f>'別紙様式2-3（６月以降分）'!AI94</f>
        <v/>
      </c>
      <c r="AJ94" s="1556" t="str">
        <f>'別紙様式2-3（６月以降分）'!AJ94</f>
        <v/>
      </c>
      <c r="AK94" s="1584">
        <f>'別紙様式2-3（６月以降分）'!AK94</f>
        <v>0</v>
      </c>
      <c r="AL94" s="1560" t="str">
        <f>IF('別紙様式2-3（６月以降分）'!AL94="","",'別紙様式2-3（６月以降分）'!AL94)</f>
        <v/>
      </c>
      <c r="AM94" s="1572">
        <f>'別紙様式2-3（６月以降分）'!AM94</f>
        <v>0</v>
      </c>
      <c r="AN94" s="1574"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3"/>
      <c r="V95" s="1461"/>
      <c r="W95" s="1354"/>
      <c r="X95" s="1555"/>
      <c r="Y95" s="1358"/>
      <c r="Z95" s="1555"/>
      <c r="AA95" s="1358"/>
      <c r="AB95" s="1555"/>
      <c r="AC95" s="1358"/>
      <c r="AD95" s="1555"/>
      <c r="AE95" s="1358"/>
      <c r="AF95" s="1358"/>
      <c r="AG95" s="1358"/>
      <c r="AH95" s="1364"/>
      <c r="AI95" s="1485"/>
      <c r="AJ95" s="1557"/>
      <c r="AK95" s="1585"/>
      <c r="AL95" s="1561"/>
      <c r="AM95" s="1573"/>
      <c r="AN95" s="1575"/>
      <c r="AO95" s="1407"/>
      <c r="AP95" s="1567"/>
      <c r="AQ95" s="1407"/>
      <c r="AR95" s="1587"/>
      <c r="AS95" s="1569"/>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2196</v>
      </c>
      <c r="Q96" s="1507" t="str">
        <f>IFERROR(VLOOKUP('別紙様式2-2（４・５月分）'!AR74,【参考】数式用!$AT$5:$AV$22,3,FALSE),"")</f>
        <v/>
      </c>
      <c r="R96" s="1391" t="s">
        <v>2207</v>
      </c>
      <c r="S96" s="1399" t="str">
        <f>IFERROR(VLOOKUP(K94,【参考】数式用!$A$5:$AB$27,MATCH(Q96,【参考】数式用!$B$4:$AB$4,0)+1,0),"")</f>
        <v/>
      </c>
      <c r="T96" s="1462" t="s">
        <v>2285</v>
      </c>
      <c r="U96" s="1570"/>
      <c r="V96" s="1466" t="str">
        <f>IFERROR(VLOOKUP(K94,【参考】数式用!$A$5:$AB$27,MATCH(U96,【参考】数式用!$B$4:$AB$4,0)+1,0),"")</f>
        <v/>
      </c>
      <c r="W96" s="1468" t="s">
        <v>19</v>
      </c>
      <c r="X96" s="1538"/>
      <c r="Y96" s="1410" t="s">
        <v>10</v>
      </c>
      <c r="Z96" s="1538"/>
      <c r="AA96" s="1410" t="s">
        <v>45</v>
      </c>
      <c r="AB96" s="1538"/>
      <c r="AC96" s="1410" t="s">
        <v>10</v>
      </c>
      <c r="AD96" s="1538"/>
      <c r="AE96" s="1410" t="s">
        <v>2188</v>
      </c>
      <c r="AF96" s="1410" t="s">
        <v>24</v>
      </c>
      <c r="AG96" s="1410" t="str">
        <f>IF(X96&gt;=1,(AB96*12+AD96)-(X96*12+Z96)+1,"")</f>
        <v/>
      </c>
      <c r="AH96" s="1412" t="s">
        <v>38</v>
      </c>
      <c r="AI96" s="1414" t="str">
        <f t="shared" ref="AI96" si="75">IFERROR(ROUNDDOWN(ROUND(L94*V96,0)*M94,0)*AG96,"")</f>
        <v/>
      </c>
      <c r="AJ96" s="1578" t="str">
        <f>IFERROR(ROUNDDOWN(ROUND((L94*(V96-AX94)),0)*M94,0)*AG96,"")</f>
        <v/>
      </c>
      <c r="AK96" s="1497" t="str">
        <f>IFERROR(ROUNDDOWN(ROUNDDOWN(ROUND(L94*VLOOKUP(K94,【参考】数式用!$A$5:$AB$27,MATCH("新加算Ⅳ",【参考】数式用!$B$4:$AB$4,0)+1,0),0)*M94,0)*AG96*0.5,0),"")</f>
        <v/>
      </c>
      <c r="AL96" s="1580"/>
      <c r="AM96" s="1588" t="str">
        <f>IFERROR(IF('別紙様式2-2（４・５月分）'!Q76="ベア加算","", IF(OR(U96="新加算Ⅰ",U96="新加算Ⅱ",U96="新加算Ⅲ",U96="新加算Ⅳ"),ROUNDDOWN(ROUND(L94*VLOOKUP(K94,【参考】数式用!$A$5:$I$27,MATCH("ベア加算",【参考】数式用!$B$4:$I$4,0)+1,0),0)*M94,0)*AG96,"")),"")</f>
        <v/>
      </c>
      <c r="AN96" s="1544"/>
      <c r="AO96" s="1536"/>
      <c r="AP96" s="1548"/>
      <c r="AQ96" s="1536"/>
      <c r="AR96" s="1550"/>
      <c r="AS96" s="1552"/>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71"/>
      <c r="V97" s="1467"/>
      <c r="W97" s="1469"/>
      <c r="X97" s="1539"/>
      <c r="Y97" s="1411"/>
      <c r="Z97" s="1539"/>
      <c r="AA97" s="1411"/>
      <c r="AB97" s="1539"/>
      <c r="AC97" s="1411"/>
      <c r="AD97" s="1539"/>
      <c r="AE97" s="1411"/>
      <c r="AF97" s="1411"/>
      <c r="AG97" s="1411"/>
      <c r="AH97" s="1413"/>
      <c r="AI97" s="1415"/>
      <c r="AJ97" s="1579"/>
      <c r="AK97" s="1498"/>
      <c r="AL97" s="1581"/>
      <c r="AM97" s="1589"/>
      <c r="AN97" s="1545"/>
      <c r="AO97" s="1537"/>
      <c r="AP97" s="1549"/>
      <c r="AQ97" s="1537"/>
      <c r="AR97" s="1551"/>
      <c r="AS97" s="1553"/>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2275</v>
      </c>
      <c r="U98" s="1562" t="str">
        <f>IF('別紙様式2-3（６月以降分）'!U98="","",'別紙様式2-3（６月以降分）'!U98)</f>
        <v/>
      </c>
      <c r="V98" s="1460" t="str">
        <f>IFERROR(VLOOKUP(K98,【参考】数式用!$A$5:$AB$27,MATCH(U98,【参考】数式用!$B$4:$AB$4,0)+1,0),"")</f>
        <v/>
      </c>
      <c r="W98" s="1353" t="s">
        <v>19</v>
      </c>
      <c r="X98" s="1554">
        <f>'別紙様式2-3（６月以降分）'!X98</f>
        <v>6</v>
      </c>
      <c r="Y98" s="1357" t="s">
        <v>10</v>
      </c>
      <c r="Z98" s="1554">
        <f>'別紙様式2-3（６月以降分）'!Z98</f>
        <v>6</v>
      </c>
      <c r="AA98" s="1357" t="s">
        <v>45</v>
      </c>
      <c r="AB98" s="1554">
        <f>'別紙様式2-3（６月以降分）'!AB98</f>
        <v>7</v>
      </c>
      <c r="AC98" s="1357" t="s">
        <v>10</v>
      </c>
      <c r="AD98" s="1554">
        <f>'別紙様式2-3（６月以降分）'!AD98</f>
        <v>3</v>
      </c>
      <c r="AE98" s="1357" t="s">
        <v>2188</v>
      </c>
      <c r="AF98" s="1357" t="s">
        <v>24</v>
      </c>
      <c r="AG98" s="1357">
        <f>IF(X98&gt;=1,(AB98*12+AD98)-(X98*12+Z98)+1,"")</f>
        <v>10</v>
      </c>
      <c r="AH98" s="1363" t="s">
        <v>38</v>
      </c>
      <c r="AI98" s="1484" t="str">
        <f>'別紙様式2-3（６月以降分）'!AI98</f>
        <v/>
      </c>
      <c r="AJ98" s="1556" t="str">
        <f>'別紙様式2-3（６月以降分）'!AJ98</f>
        <v/>
      </c>
      <c r="AK98" s="1584">
        <f>'別紙様式2-3（６月以降分）'!AK98</f>
        <v>0</v>
      </c>
      <c r="AL98" s="1560" t="str">
        <f>IF('別紙様式2-3（６月以降分）'!AL98="","",'別紙様式2-3（６月以降分）'!AL98)</f>
        <v/>
      </c>
      <c r="AM98" s="1572">
        <f>'別紙様式2-3（６月以降分）'!AM98</f>
        <v>0</v>
      </c>
      <c r="AN98" s="1574"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3"/>
      <c r="V99" s="1461"/>
      <c r="W99" s="1354"/>
      <c r="X99" s="1555"/>
      <c r="Y99" s="1358"/>
      <c r="Z99" s="1555"/>
      <c r="AA99" s="1358"/>
      <c r="AB99" s="1555"/>
      <c r="AC99" s="1358"/>
      <c r="AD99" s="1555"/>
      <c r="AE99" s="1358"/>
      <c r="AF99" s="1358"/>
      <c r="AG99" s="1358"/>
      <c r="AH99" s="1364"/>
      <c r="AI99" s="1485"/>
      <c r="AJ99" s="1557"/>
      <c r="AK99" s="1585"/>
      <c r="AL99" s="1561"/>
      <c r="AM99" s="1573"/>
      <c r="AN99" s="1575"/>
      <c r="AO99" s="1407"/>
      <c r="AP99" s="1567"/>
      <c r="AQ99" s="1407"/>
      <c r="AR99" s="1587"/>
      <c r="AS99" s="1569"/>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2196</v>
      </c>
      <c r="Q100" s="1507" t="str">
        <f>IFERROR(VLOOKUP('別紙様式2-2（４・５月分）'!AR77,【参考】数式用!$AT$5:$AV$22,3,FALSE),"")</f>
        <v/>
      </c>
      <c r="R100" s="1391" t="s">
        <v>2207</v>
      </c>
      <c r="S100" s="1397" t="str">
        <f>IFERROR(VLOOKUP(K98,【参考】数式用!$A$5:$AB$27,MATCH(Q100,【参考】数式用!$B$4:$AB$4,0)+1,0),"")</f>
        <v/>
      </c>
      <c r="T100" s="1462" t="s">
        <v>2285</v>
      </c>
      <c r="U100" s="1570"/>
      <c r="V100" s="1466" t="str">
        <f>IFERROR(VLOOKUP(K98,【参考】数式用!$A$5:$AB$27,MATCH(U100,【参考】数式用!$B$4:$AB$4,0)+1,0),"")</f>
        <v/>
      </c>
      <c r="W100" s="1468" t="s">
        <v>19</v>
      </c>
      <c r="X100" s="1538"/>
      <c r="Y100" s="1410" t="s">
        <v>10</v>
      </c>
      <c r="Z100" s="1538"/>
      <c r="AA100" s="1410" t="s">
        <v>45</v>
      </c>
      <c r="AB100" s="1538"/>
      <c r="AC100" s="1410" t="s">
        <v>10</v>
      </c>
      <c r="AD100" s="1538"/>
      <c r="AE100" s="1410" t="s">
        <v>2188</v>
      </c>
      <c r="AF100" s="1410" t="s">
        <v>24</v>
      </c>
      <c r="AG100" s="1410" t="str">
        <f>IF(X100&gt;=1,(AB100*12+AD100)-(X100*12+Z100)+1,"")</f>
        <v/>
      </c>
      <c r="AH100" s="1412" t="s">
        <v>38</v>
      </c>
      <c r="AI100" s="1414" t="str">
        <f t="shared" ref="AI100" si="79">IFERROR(ROUNDDOWN(ROUND(L98*V100,0)*M98,0)*AG100,"")</f>
        <v/>
      </c>
      <c r="AJ100" s="1578" t="str">
        <f>IFERROR(ROUNDDOWN(ROUND((L98*(V100-AX98)),0)*M98,0)*AG100,"")</f>
        <v/>
      </c>
      <c r="AK100" s="1497" t="str">
        <f>IFERROR(ROUNDDOWN(ROUNDDOWN(ROUND(L98*VLOOKUP(K98,【参考】数式用!$A$5:$AB$27,MATCH("新加算Ⅳ",【参考】数式用!$B$4:$AB$4,0)+1,0),0)*M98,0)*AG100*0.5,0),"")</f>
        <v/>
      </c>
      <c r="AL100" s="1580"/>
      <c r="AM100" s="1588" t="str">
        <f>IFERROR(IF('別紙様式2-2（４・５月分）'!Q79="ベア加算","", IF(OR(U100="新加算Ⅰ",U100="新加算Ⅱ",U100="新加算Ⅲ",U100="新加算Ⅳ"),ROUNDDOWN(ROUND(L98*VLOOKUP(K98,【参考】数式用!$A$5:$I$27,MATCH("ベア加算",【参考】数式用!$B$4:$I$4,0)+1,0),0)*M98,0)*AG100,"")),"")</f>
        <v/>
      </c>
      <c r="AN100" s="1544"/>
      <c r="AO100" s="1536"/>
      <c r="AP100" s="1548"/>
      <c r="AQ100" s="1536"/>
      <c r="AR100" s="1550"/>
      <c r="AS100" s="1552"/>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71"/>
      <c r="V101" s="1467"/>
      <c r="W101" s="1469"/>
      <c r="X101" s="1539"/>
      <c r="Y101" s="1411"/>
      <c r="Z101" s="1539"/>
      <c r="AA101" s="1411"/>
      <c r="AB101" s="1539"/>
      <c r="AC101" s="1411"/>
      <c r="AD101" s="1539"/>
      <c r="AE101" s="1411"/>
      <c r="AF101" s="1411"/>
      <c r="AG101" s="1411"/>
      <c r="AH101" s="1413"/>
      <c r="AI101" s="1415"/>
      <c r="AJ101" s="1579"/>
      <c r="AK101" s="1498"/>
      <c r="AL101" s="1581"/>
      <c r="AM101" s="1589"/>
      <c r="AN101" s="1545"/>
      <c r="AO101" s="1537"/>
      <c r="AP101" s="1549"/>
      <c r="AQ101" s="1537"/>
      <c r="AR101" s="1551"/>
      <c r="AS101" s="1553"/>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2275</v>
      </c>
      <c r="U102" s="1562" t="str">
        <f>IF('別紙様式2-3（６月以降分）'!U102="","",'別紙様式2-3（６月以降分）'!U102)</f>
        <v/>
      </c>
      <c r="V102" s="1460" t="str">
        <f>IFERROR(VLOOKUP(K102,【参考】数式用!$A$5:$AB$27,MATCH(U102,【参考】数式用!$B$4:$AB$4,0)+1,0),"")</f>
        <v/>
      </c>
      <c r="W102" s="1353" t="s">
        <v>19</v>
      </c>
      <c r="X102" s="1554">
        <f>'別紙様式2-3（６月以降分）'!X102</f>
        <v>6</v>
      </c>
      <c r="Y102" s="1357" t="s">
        <v>10</v>
      </c>
      <c r="Z102" s="1554">
        <f>'別紙様式2-3（６月以降分）'!Z102</f>
        <v>6</v>
      </c>
      <c r="AA102" s="1357" t="s">
        <v>45</v>
      </c>
      <c r="AB102" s="1554">
        <f>'別紙様式2-3（６月以降分）'!AB102</f>
        <v>7</v>
      </c>
      <c r="AC102" s="1357" t="s">
        <v>10</v>
      </c>
      <c r="AD102" s="1554">
        <f>'別紙様式2-3（６月以降分）'!AD102</f>
        <v>3</v>
      </c>
      <c r="AE102" s="1357" t="s">
        <v>2188</v>
      </c>
      <c r="AF102" s="1357" t="s">
        <v>24</v>
      </c>
      <c r="AG102" s="1357">
        <f>IF(X102&gt;=1,(AB102*12+AD102)-(X102*12+Z102)+1,"")</f>
        <v>10</v>
      </c>
      <c r="AH102" s="1363" t="s">
        <v>38</v>
      </c>
      <c r="AI102" s="1484" t="str">
        <f>'別紙様式2-3（６月以降分）'!AI102</f>
        <v/>
      </c>
      <c r="AJ102" s="1556" t="str">
        <f>'別紙様式2-3（６月以降分）'!AJ102</f>
        <v/>
      </c>
      <c r="AK102" s="1584">
        <f>'別紙様式2-3（６月以降分）'!AK102</f>
        <v>0</v>
      </c>
      <c r="AL102" s="1560" t="str">
        <f>IF('別紙様式2-3（６月以降分）'!AL102="","",'別紙様式2-3（６月以降分）'!AL102)</f>
        <v/>
      </c>
      <c r="AM102" s="1572">
        <f>'別紙様式2-3（６月以降分）'!AM102</f>
        <v>0</v>
      </c>
      <c r="AN102" s="1574"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3"/>
      <c r="V103" s="1461"/>
      <c r="W103" s="1354"/>
      <c r="X103" s="1555"/>
      <c r="Y103" s="1358"/>
      <c r="Z103" s="1555"/>
      <c r="AA103" s="1358"/>
      <c r="AB103" s="1555"/>
      <c r="AC103" s="1358"/>
      <c r="AD103" s="1555"/>
      <c r="AE103" s="1358"/>
      <c r="AF103" s="1358"/>
      <c r="AG103" s="1358"/>
      <c r="AH103" s="1364"/>
      <c r="AI103" s="1485"/>
      <c r="AJ103" s="1557"/>
      <c r="AK103" s="1585"/>
      <c r="AL103" s="1561"/>
      <c r="AM103" s="1573"/>
      <c r="AN103" s="1575"/>
      <c r="AO103" s="1407"/>
      <c r="AP103" s="1567"/>
      <c r="AQ103" s="1407"/>
      <c r="AR103" s="1587"/>
      <c r="AS103" s="1569"/>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2196</v>
      </c>
      <c r="Q104" s="1507" t="str">
        <f>IFERROR(VLOOKUP('別紙様式2-2（４・５月分）'!AR80,【参考】数式用!$AT$5:$AV$22,3,FALSE),"")</f>
        <v/>
      </c>
      <c r="R104" s="1391" t="s">
        <v>2207</v>
      </c>
      <c r="S104" s="1397" t="str">
        <f>IFERROR(VLOOKUP(K102,【参考】数式用!$A$5:$AB$27,MATCH(Q104,【参考】数式用!$B$4:$AB$4,0)+1,0),"")</f>
        <v/>
      </c>
      <c r="T104" s="1462" t="s">
        <v>2285</v>
      </c>
      <c r="U104" s="1570"/>
      <c r="V104" s="1466" t="str">
        <f>IFERROR(VLOOKUP(K102,【参考】数式用!$A$5:$AB$27,MATCH(U104,【参考】数式用!$B$4:$AB$4,0)+1,0),"")</f>
        <v/>
      </c>
      <c r="W104" s="1468" t="s">
        <v>19</v>
      </c>
      <c r="X104" s="1538"/>
      <c r="Y104" s="1410" t="s">
        <v>10</v>
      </c>
      <c r="Z104" s="1538"/>
      <c r="AA104" s="1410" t="s">
        <v>45</v>
      </c>
      <c r="AB104" s="1538"/>
      <c r="AC104" s="1410" t="s">
        <v>10</v>
      </c>
      <c r="AD104" s="1538"/>
      <c r="AE104" s="1410" t="s">
        <v>2188</v>
      </c>
      <c r="AF104" s="1410" t="s">
        <v>24</v>
      </c>
      <c r="AG104" s="1410" t="str">
        <f>IF(X104&gt;=1,(AB104*12+AD104)-(X104*12+Z104)+1,"")</f>
        <v/>
      </c>
      <c r="AH104" s="1412" t="s">
        <v>38</v>
      </c>
      <c r="AI104" s="1414" t="str">
        <f t="shared" ref="AI104" si="83">IFERROR(ROUNDDOWN(ROUND(L102*V104,0)*M102,0)*AG104,"")</f>
        <v/>
      </c>
      <c r="AJ104" s="1578" t="str">
        <f>IFERROR(ROUNDDOWN(ROUND((L102*(V104-AX102)),0)*M102,0)*AG104,"")</f>
        <v/>
      </c>
      <c r="AK104" s="1497" t="str">
        <f>IFERROR(ROUNDDOWN(ROUNDDOWN(ROUND(L102*VLOOKUP(K102,【参考】数式用!$A$5:$AB$27,MATCH("新加算Ⅳ",【参考】数式用!$B$4:$AB$4,0)+1,0),0)*M102,0)*AG104*0.5,0),"")</f>
        <v/>
      </c>
      <c r="AL104" s="1580"/>
      <c r="AM104" s="1588" t="str">
        <f>IFERROR(IF('別紙様式2-2（４・５月分）'!Q82="ベア加算","", IF(OR(U104="新加算Ⅰ",U104="新加算Ⅱ",U104="新加算Ⅲ",U104="新加算Ⅳ"),ROUNDDOWN(ROUND(L102*VLOOKUP(K102,【参考】数式用!$A$5:$I$27,MATCH("ベア加算",【参考】数式用!$B$4:$I$4,0)+1,0),0)*M102,0)*AG104,"")),"")</f>
        <v/>
      </c>
      <c r="AN104" s="1544"/>
      <c r="AO104" s="1536"/>
      <c r="AP104" s="1548"/>
      <c r="AQ104" s="1536"/>
      <c r="AR104" s="1550"/>
      <c r="AS104" s="1552"/>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71"/>
      <c r="V105" s="1467"/>
      <c r="W105" s="1469"/>
      <c r="X105" s="1539"/>
      <c r="Y105" s="1411"/>
      <c r="Z105" s="1539"/>
      <c r="AA105" s="1411"/>
      <c r="AB105" s="1539"/>
      <c r="AC105" s="1411"/>
      <c r="AD105" s="1539"/>
      <c r="AE105" s="1411"/>
      <c r="AF105" s="1411"/>
      <c r="AG105" s="1411"/>
      <c r="AH105" s="1413"/>
      <c r="AI105" s="1415"/>
      <c r="AJ105" s="1579"/>
      <c r="AK105" s="1498"/>
      <c r="AL105" s="1581"/>
      <c r="AM105" s="1589"/>
      <c r="AN105" s="1545"/>
      <c r="AO105" s="1537"/>
      <c r="AP105" s="1549"/>
      <c r="AQ105" s="1537"/>
      <c r="AR105" s="1551"/>
      <c r="AS105" s="1553"/>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2275</v>
      </c>
      <c r="U106" s="1562" t="str">
        <f>IF('別紙様式2-3（６月以降分）'!U106="","",'別紙様式2-3（６月以降分）'!U106)</f>
        <v/>
      </c>
      <c r="V106" s="1460" t="str">
        <f>IFERROR(VLOOKUP(K106,【参考】数式用!$A$5:$AB$27,MATCH(U106,【参考】数式用!$B$4:$AB$4,0)+1,0),"")</f>
        <v/>
      </c>
      <c r="W106" s="1353" t="s">
        <v>19</v>
      </c>
      <c r="X106" s="1554">
        <f>'別紙様式2-3（６月以降分）'!X106</f>
        <v>6</v>
      </c>
      <c r="Y106" s="1357" t="s">
        <v>10</v>
      </c>
      <c r="Z106" s="1554">
        <f>'別紙様式2-3（６月以降分）'!Z106</f>
        <v>6</v>
      </c>
      <c r="AA106" s="1357" t="s">
        <v>45</v>
      </c>
      <c r="AB106" s="1554">
        <f>'別紙様式2-3（６月以降分）'!AB106</f>
        <v>7</v>
      </c>
      <c r="AC106" s="1357" t="s">
        <v>10</v>
      </c>
      <c r="AD106" s="1554">
        <f>'別紙様式2-3（６月以降分）'!AD106</f>
        <v>3</v>
      </c>
      <c r="AE106" s="1357" t="s">
        <v>2188</v>
      </c>
      <c r="AF106" s="1357" t="s">
        <v>24</v>
      </c>
      <c r="AG106" s="1357">
        <f>IF(X106&gt;=1,(AB106*12+AD106)-(X106*12+Z106)+1,"")</f>
        <v>10</v>
      </c>
      <c r="AH106" s="1363" t="s">
        <v>38</v>
      </c>
      <c r="AI106" s="1484" t="str">
        <f>'別紙様式2-3（６月以降分）'!AI106</f>
        <v/>
      </c>
      <c r="AJ106" s="1556" t="str">
        <f>'別紙様式2-3（６月以降分）'!AJ106</f>
        <v/>
      </c>
      <c r="AK106" s="1584">
        <f>'別紙様式2-3（６月以降分）'!AK106</f>
        <v>0</v>
      </c>
      <c r="AL106" s="1560" t="str">
        <f>IF('別紙様式2-3（６月以降分）'!AL106="","",'別紙様式2-3（６月以降分）'!AL106)</f>
        <v/>
      </c>
      <c r="AM106" s="1572">
        <f>'別紙様式2-3（６月以降分）'!AM106</f>
        <v>0</v>
      </c>
      <c r="AN106" s="1574"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3"/>
      <c r="V107" s="1461"/>
      <c r="W107" s="1354"/>
      <c r="X107" s="1555"/>
      <c r="Y107" s="1358"/>
      <c r="Z107" s="1555"/>
      <c r="AA107" s="1358"/>
      <c r="AB107" s="1555"/>
      <c r="AC107" s="1358"/>
      <c r="AD107" s="1555"/>
      <c r="AE107" s="1358"/>
      <c r="AF107" s="1358"/>
      <c r="AG107" s="1358"/>
      <c r="AH107" s="1364"/>
      <c r="AI107" s="1485"/>
      <c r="AJ107" s="1557"/>
      <c r="AK107" s="1585"/>
      <c r="AL107" s="1561"/>
      <c r="AM107" s="1573"/>
      <c r="AN107" s="1575"/>
      <c r="AO107" s="1407"/>
      <c r="AP107" s="1567"/>
      <c r="AQ107" s="1407"/>
      <c r="AR107" s="1587"/>
      <c r="AS107" s="1569"/>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2196</v>
      </c>
      <c r="Q108" s="1507" t="str">
        <f>IFERROR(VLOOKUP('別紙様式2-2（４・５月分）'!AR83,【参考】数式用!$AT$5:$AV$22,3,FALSE),"")</f>
        <v/>
      </c>
      <c r="R108" s="1391" t="s">
        <v>2207</v>
      </c>
      <c r="S108" s="1399" t="str">
        <f>IFERROR(VLOOKUP(K106,【参考】数式用!$A$5:$AB$27,MATCH(Q108,【参考】数式用!$B$4:$AB$4,0)+1,0),"")</f>
        <v/>
      </c>
      <c r="T108" s="1462" t="s">
        <v>2285</v>
      </c>
      <c r="U108" s="1570"/>
      <c r="V108" s="1466" t="str">
        <f>IFERROR(VLOOKUP(K106,【参考】数式用!$A$5:$AB$27,MATCH(U108,【参考】数式用!$B$4:$AB$4,0)+1,0),"")</f>
        <v/>
      </c>
      <c r="W108" s="1468" t="s">
        <v>19</v>
      </c>
      <c r="X108" s="1538"/>
      <c r="Y108" s="1410" t="s">
        <v>10</v>
      </c>
      <c r="Z108" s="1538"/>
      <c r="AA108" s="1410" t="s">
        <v>45</v>
      </c>
      <c r="AB108" s="1538"/>
      <c r="AC108" s="1410" t="s">
        <v>10</v>
      </c>
      <c r="AD108" s="1538"/>
      <c r="AE108" s="1410" t="s">
        <v>2188</v>
      </c>
      <c r="AF108" s="1410" t="s">
        <v>24</v>
      </c>
      <c r="AG108" s="1410" t="str">
        <f>IF(X108&gt;=1,(AB108*12+AD108)-(X108*12+Z108)+1,"")</f>
        <v/>
      </c>
      <c r="AH108" s="1412" t="s">
        <v>38</v>
      </c>
      <c r="AI108" s="1414" t="str">
        <f t="shared" ref="AI108" si="87">IFERROR(ROUNDDOWN(ROUND(L106*V108,0)*M106,0)*AG108,"")</f>
        <v/>
      </c>
      <c r="AJ108" s="1578" t="str">
        <f>IFERROR(ROUNDDOWN(ROUND((L106*(V108-AX106)),0)*M106,0)*AG108,"")</f>
        <v/>
      </c>
      <c r="AK108" s="1497" t="str">
        <f>IFERROR(ROUNDDOWN(ROUNDDOWN(ROUND(L106*VLOOKUP(K106,【参考】数式用!$A$5:$AB$27,MATCH("新加算Ⅳ",【参考】数式用!$B$4:$AB$4,0)+1,0),0)*M106,0)*AG108*0.5,0),"")</f>
        <v/>
      </c>
      <c r="AL108" s="1580"/>
      <c r="AM108" s="1588" t="str">
        <f>IFERROR(IF('別紙様式2-2（４・５月分）'!Q85="ベア加算","", IF(OR(U108="新加算Ⅰ",U108="新加算Ⅱ",U108="新加算Ⅲ",U108="新加算Ⅳ"),ROUNDDOWN(ROUND(L106*VLOOKUP(K106,【参考】数式用!$A$5:$I$27,MATCH("ベア加算",【参考】数式用!$B$4:$I$4,0)+1,0),0)*M106,0)*AG108,"")),"")</f>
        <v/>
      </c>
      <c r="AN108" s="1544"/>
      <c r="AO108" s="1536"/>
      <c r="AP108" s="1548"/>
      <c r="AQ108" s="1536"/>
      <c r="AR108" s="1550"/>
      <c r="AS108" s="1552"/>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71"/>
      <c r="V109" s="1467"/>
      <c r="W109" s="1469"/>
      <c r="X109" s="1539"/>
      <c r="Y109" s="1411"/>
      <c r="Z109" s="1539"/>
      <c r="AA109" s="1411"/>
      <c r="AB109" s="1539"/>
      <c r="AC109" s="1411"/>
      <c r="AD109" s="1539"/>
      <c r="AE109" s="1411"/>
      <c r="AF109" s="1411"/>
      <c r="AG109" s="1411"/>
      <c r="AH109" s="1413"/>
      <c r="AI109" s="1415"/>
      <c r="AJ109" s="1579"/>
      <c r="AK109" s="1498"/>
      <c r="AL109" s="1581"/>
      <c r="AM109" s="1589"/>
      <c r="AN109" s="1545"/>
      <c r="AO109" s="1537"/>
      <c r="AP109" s="1549"/>
      <c r="AQ109" s="1537"/>
      <c r="AR109" s="1551"/>
      <c r="AS109" s="1553"/>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2275</v>
      </c>
      <c r="U110" s="1562" t="str">
        <f>IF('別紙様式2-3（６月以降分）'!U110="","",'別紙様式2-3（６月以降分）'!U110)</f>
        <v/>
      </c>
      <c r="V110" s="1460" t="str">
        <f>IFERROR(VLOOKUP(K110,【参考】数式用!$A$5:$AB$27,MATCH(U110,【参考】数式用!$B$4:$AB$4,0)+1,0),"")</f>
        <v/>
      </c>
      <c r="W110" s="1353" t="s">
        <v>19</v>
      </c>
      <c r="X110" s="1554">
        <f>'別紙様式2-3（６月以降分）'!X110</f>
        <v>6</v>
      </c>
      <c r="Y110" s="1357" t="s">
        <v>10</v>
      </c>
      <c r="Z110" s="1554">
        <f>'別紙様式2-3（６月以降分）'!Z110</f>
        <v>6</v>
      </c>
      <c r="AA110" s="1357" t="s">
        <v>45</v>
      </c>
      <c r="AB110" s="1554">
        <f>'別紙様式2-3（６月以降分）'!AB110</f>
        <v>7</v>
      </c>
      <c r="AC110" s="1357" t="s">
        <v>10</v>
      </c>
      <c r="AD110" s="1554">
        <f>'別紙様式2-3（６月以降分）'!AD110</f>
        <v>3</v>
      </c>
      <c r="AE110" s="1357" t="s">
        <v>2188</v>
      </c>
      <c r="AF110" s="1357" t="s">
        <v>24</v>
      </c>
      <c r="AG110" s="1357">
        <f>IF(X110&gt;=1,(AB110*12+AD110)-(X110*12+Z110)+1,"")</f>
        <v>10</v>
      </c>
      <c r="AH110" s="1363" t="s">
        <v>38</v>
      </c>
      <c r="AI110" s="1484" t="str">
        <f>'別紙様式2-3（６月以降分）'!AI110</f>
        <v/>
      </c>
      <c r="AJ110" s="1556" t="str">
        <f>'別紙様式2-3（６月以降分）'!AJ110</f>
        <v/>
      </c>
      <c r="AK110" s="1584">
        <f>'別紙様式2-3（６月以降分）'!AK110</f>
        <v>0</v>
      </c>
      <c r="AL110" s="1560" t="str">
        <f>IF('別紙様式2-3（６月以降分）'!AL110="","",'別紙様式2-3（６月以降分）'!AL110)</f>
        <v/>
      </c>
      <c r="AM110" s="1572">
        <f>'別紙様式2-3（６月以降分）'!AM110</f>
        <v>0</v>
      </c>
      <c r="AN110" s="1574"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3"/>
      <c r="V111" s="1461"/>
      <c r="W111" s="1354"/>
      <c r="X111" s="1555"/>
      <c r="Y111" s="1358"/>
      <c r="Z111" s="1555"/>
      <c r="AA111" s="1358"/>
      <c r="AB111" s="1555"/>
      <c r="AC111" s="1358"/>
      <c r="AD111" s="1555"/>
      <c r="AE111" s="1358"/>
      <c r="AF111" s="1358"/>
      <c r="AG111" s="1358"/>
      <c r="AH111" s="1364"/>
      <c r="AI111" s="1485"/>
      <c r="AJ111" s="1557"/>
      <c r="AK111" s="1585"/>
      <c r="AL111" s="1561"/>
      <c r="AM111" s="1573"/>
      <c r="AN111" s="1575"/>
      <c r="AO111" s="1407"/>
      <c r="AP111" s="1567"/>
      <c r="AQ111" s="1407"/>
      <c r="AR111" s="1587"/>
      <c r="AS111" s="1569"/>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2196</v>
      </c>
      <c r="Q112" s="1507" t="str">
        <f>IFERROR(VLOOKUP('別紙様式2-2（４・５月分）'!AR86,【参考】数式用!$AT$5:$AV$22,3,FALSE),"")</f>
        <v/>
      </c>
      <c r="R112" s="1391" t="s">
        <v>2207</v>
      </c>
      <c r="S112" s="1397" t="str">
        <f>IFERROR(VLOOKUP(K110,【参考】数式用!$A$5:$AB$27,MATCH(Q112,【参考】数式用!$B$4:$AB$4,0)+1,0),"")</f>
        <v/>
      </c>
      <c r="T112" s="1462" t="s">
        <v>2285</v>
      </c>
      <c r="U112" s="1570"/>
      <c r="V112" s="1466" t="str">
        <f>IFERROR(VLOOKUP(K110,【参考】数式用!$A$5:$AB$27,MATCH(U112,【参考】数式用!$B$4:$AB$4,0)+1,0),"")</f>
        <v/>
      </c>
      <c r="W112" s="1468" t="s">
        <v>19</v>
      </c>
      <c r="X112" s="1538"/>
      <c r="Y112" s="1410" t="s">
        <v>10</v>
      </c>
      <c r="Z112" s="1538"/>
      <c r="AA112" s="1410" t="s">
        <v>45</v>
      </c>
      <c r="AB112" s="1538"/>
      <c r="AC112" s="1410" t="s">
        <v>10</v>
      </c>
      <c r="AD112" s="1538"/>
      <c r="AE112" s="1410" t="s">
        <v>2188</v>
      </c>
      <c r="AF112" s="1410" t="s">
        <v>24</v>
      </c>
      <c r="AG112" s="1410" t="str">
        <f>IF(X112&gt;=1,(AB112*12+AD112)-(X112*12+Z112)+1,"")</f>
        <v/>
      </c>
      <c r="AH112" s="1412" t="s">
        <v>38</v>
      </c>
      <c r="AI112" s="1414" t="str">
        <f t="shared" ref="AI112" si="91">IFERROR(ROUNDDOWN(ROUND(L110*V112,0)*M110,0)*AG112,"")</f>
        <v/>
      </c>
      <c r="AJ112" s="1578" t="str">
        <f>IFERROR(ROUNDDOWN(ROUND((L110*(V112-AX110)),0)*M110,0)*AG112,"")</f>
        <v/>
      </c>
      <c r="AK112" s="1497" t="str">
        <f>IFERROR(ROUNDDOWN(ROUNDDOWN(ROUND(L110*VLOOKUP(K110,【参考】数式用!$A$5:$AB$27,MATCH("新加算Ⅳ",【参考】数式用!$B$4:$AB$4,0)+1,0),0)*M110,0)*AG112*0.5,0),"")</f>
        <v/>
      </c>
      <c r="AL112" s="1580"/>
      <c r="AM112" s="1588" t="str">
        <f>IFERROR(IF('別紙様式2-2（４・５月分）'!Q88="ベア加算","", IF(OR(U112="新加算Ⅰ",U112="新加算Ⅱ",U112="新加算Ⅲ",U112="新加算Ⅳ"),ROUNDDOWN(ROUND(L110*VLOOKUP(K110,【参考】数式用!$A$5:$I$27,MATCH("ベア加算",【参考】数式用!$B$4:$I$4,0)+1,0),0)*M110,0)*AG112,"")),"")</f>
        <v/>
      </c>
      <c r="AN112" s="1544"/>
      <c r="AO112" s="1536"/>
      <c r="AP112" s="1548"/>
      <c r="AQ112" s="1536"/>
      <c r="AR112" s="1550"/>
      <c r="AS112" s="1552"/>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71"/>
      <c r="V113" s="1467"/>
      <c r="W113" s="1469"/>
      <c r="X113" s="1539"/>
      <c r="Y113" s="1411"/>
      <c r="Z113" s="1539"/>
      <c r="AA113" s="1411"/>
      <c r="AB113" s="1539"/>
      <c r="AC113" s="1411"/>
      <c r="AD113" s="1539"/>
      <c r="AE113" s="1411"/>
      <c r="AF113" s="1411"/>
      <c r="AG113" s="1411"/>
      <c r="AH113" s="1413"/>
      <c r="AI113" s="1415"/>
      <c r="AJ113" s="1579"/>
      <c r="AK113" s="1498"/>
      <c r="AL113" s="1581"/>
      <c r="AM113" s="1589"/>
      <c r="AN113" s="1545"/>
      <c r="AO113" s="1537"/>
      <c r="AP113" s="1549"/>
      <c r="AQ113" s="1537"/>
      <c r="AR113" s="1551"/>
      <c r="AS113" s="1553"/>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2275</v>
      </c>
      <c r="U114" s="1562" t="str">
        <f>IF('別紙様式2-3（６月以降分）'!U114="","",'別紙様式2-3（６月以降分）'!U114)</f>
        <v/>
      </c>
      <c r="V114" s="1460" t="str">
        <f>IFERROR(VLOOKUP(K114,【参考】数式用!$A$5:$AB$27,MATCH(U114,【参考】数式用!$B$4:$AB$4,0)+1,0),"")</f>
        <v/>
      </c>
      <c r="W114" s="1353" t="s">
        <v>19</v>
      </c>
      <c r="X114" s="1554">
        <f>'別紙様式2-3（６月以降分）'!X114</f>
        <v>6</v>
      </c>
      <c r="Y114" s="1357" t="s">
        <v>10</v>
      </c>
      <c r="Z114" s="1554">
        <f>'別紙様式2-3（６月以降分）'!Z114</f>
        <v>6</v>
      </c>
      <c r="AA114" s="1357" t="s">
        <v>45</v>
      </c>
      <c r="AB114" s="1554">
        <f>'別紙様式2-3（６月以降分）'!AB114</f>
        <v>7</v>
      </c>
      <c r="AC114" s="1357" t="s">
        <v>10</v>
      </c>
      <c r="AD114" s="1554">
        <f>'別紙様式2-3（６月以降分）'!AD114</f>
        <v>3</v>
      </c>
      <c r="AE114" s="1357" t="s">
        <v>2188</v>
      </c>
      <c r="AF114" s="1357" t="s">
        <v>24</v>
      </c>
      <c r="AG114" s="1357">
        <f>IF(X114&gt;=1,(AB114*12+AD114)-(X114*12+Z114)+1,"")</f>
        <v>10</v>
      </c>
      <c r="AH114" s="1363" t="s">
        <v>38</v>
      </c>
      <c r="AI114" s="1484" t="str">
        <f>'別紙様式2-3（６月以降分）'!AI114</f>
        <v/>
      </c>
      <c r="AJ114" s="1556" t="str">
        <f>'別紙様式2-3（６月以降分）'!AJ114</f>
        <v/>
      </c>
      <c r="AK114" s="1584">
        <f>'別紙様式2-3（６月以降分）'!AK114</f>
        <v>0</v>
      </c>
      <c r="AL114" s="1560" t="str">
        <f>IF('別紙様式2-3（６月以降分）'!AL114="","",'別紙様式2-3（６月以降分）'!AL114)</f>
        <v/>
      </c>
      <c r="AM114" s="1572">
        <f>'別紙様式2-3（６月以降分）'!AM114</f>
        <v>0</v>
      </c>
      <c r="AN114" s="1574"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3"/>
      <c r="V115" s="1461"/>
      <c r="W115" s="1354"/>
      <c r="X115" s="1555"/>
      <c r="Y115" s="1358"/>
      <c r="Z115" s="1555"/>
      <c r="AA115" s="1358"/>
      <c r="AB115" s="1555"/>
      <c r="AC115" s="1358"/>
      <c r="AD115" s="1555"/>
      <c r="AE115" s="1358"/>
      <c r="AF115" s="1358"/>
      <c r="AG115" s="1358"/>
      <c r="AH115" s="1364"/>
      <c r="AI115" s="1485"/>
      <c r="AJ115" s="1557"/>
      <c r="AK115" s="1585"/>
      <c r="AL115" s="1561"/>
      <c r="AM115" s="1573"/>
      <c r="AN115" s="1575"/>
      <c r="AO115" s="1407"/>
      <c r="AP115" s="1567"/>
      <c r="AQ115" s="1407"/>
      <c r="AR115" s="1587"/>
      <c r="AS115" s="1569"/>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2196</v>
      </c>
      <c r="Q116" s="1507" t="str">
        <f>IFERROR(VLOOKUP('別紙様式2-2（４・５月分）'!AR89,【参考】数式用!$AT$5:$AV$22,3,FALSE),"")</f>
        <v/>
      </c>
      <c r="R116" s="1391" t="s">
        <v>2207</v>
      </c>
      <c r="S116" s="1399" t="str">
        <f>IFERROR(VLOOKUP(K114,【参考】数式用!$A$5:$AB$27,MATCH(Q116,【参考】数式用!$B$4:$AB$4,0)+1,0),"")</f>
        <v/>
      </c>
      <c r="T116" s="1462" t="s">
        <v>2285</v>
      </c>
      <c r="U116" s="1570"/>
      <c r="V116" s="1466" t="str">
        <f>IFERROR(VLOOKUP(K114,【参考】数式用!$A$5:$AB$27,MATCH(U116,【参考】数式用!$B$4:$AB$4,0)+1,0),"")</f>
        <v/>
      </c>
      <c r="W116" s="1468" t="s">
        <v>19</v>
      </c>
      <c r="X116" s="1538"/>
      <c r="Y116" s="1410" t="s">
        <v>10</v>
      </c>
      <c r="Z116" s="1538"/>
      <c r="AA116" s="1410" t="s">
        <v>45</v>
      </c>
      <c r="AB116" s="1538"/>
      <c r="AC116" s="1410" t="s">
        <v>10</v>
      </c>
      <c r="AD116" s="1538"/>
      <c r="AE116" s="1410" t="s">
        <v>2188</v>
      </c>
      <c r="AF116" s="1410" t="s">
        <v>24</v>
      </c>
      <c r="AG116" s="1410" t="str">
        <f>IF(X116&gt;=1,(AB116*12+AD116)-(X116*12+Z116)+1,"")</f>
        <v/>
      </c>
      <c r="AH116" s="1412" t="s">
        <v>38</v>
      </c>
      <c r="AI116" s="1414" t="str">
        <f t="shared" ref="AI116" si="95">IFERROR(ROUNDDOWN(ROUND(L114*V116,0)*M114,0)*AG116,"")</f>
        <v/>
      </c>
      <c r="AJ116" s="1578" t="str">
        <f>IFERROR(ROUNDDOWN(ROUND((L114*(V116-AX114)),0)*M114,0)*AG116,"")</f>
        <v/>
      </c>
      <c r="AK116" s="1497" t="str">
        <f>IFERROR(ROUNDDOWN(ROUNDDOWN(ROUND(L114*VLOOKUP(K114,【参考】数式用!$A$5:$AB$27,MATCH("新加算Ⅳ",【参考】数式用!$B$4:$AB$4,0)+1,0),0)*M114,0)*AG116*0.5,0),"")</f>
        <v/>
      </c>
      <c r="AL116" s="1580"/>
      <c r="AM116" s="1588" t="str">
        <f>IFERROR(IF('別紙様式2-2（４・５月分）'!Q91="ベア加算","", IF(OR(U116="新加算Ⅰ",U116="新加算Ⅱ",U116="新加算Ⅲ",U116="新加算Ⅳ"),ROUNDDOWN(ROUND(L114*VLOOKUP(K114,【参考】数式用!$A$5:$I$27,MATCH("ベア加算",【参考】数式用!$B$4:$I$4,0)+1,0),0)*M114,0)*AG116,"")),"")</f>
        <v/>
      </c>
      <c r="AN116" s="1544"/>
      <c r="AO116" s="1536"/>
      <c r="AP116" s="1548"/>
      <c r="AQ116" s="1536"/>
      <c r="AR116" s="1550"/>
      <c r="AS116" s="1552"/>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71"/>
      <c r="V117" s="1467"/>
      <c r="W117" s="1469"/>
      <c r="X117" s="1539"/>
      <c r="Y117" s="1411"/>
      <c r="Z117" s="1539"/>
      <c r="AA117" s="1411"/>
      <c r="AB117" s="1539"/>
      <c r="AC117" s="1411"/>
      <c r="AD117" s="1539"/>
      <c r="AE117" s="1411"/>
      <c r="AF117" s="1411"/>
      <c r="AG117" s="1411"/>
      <c r="AH117" s="1413"/>
      <c r="AI117" s="1415"/>
      <c r="AJ117" s="1579"/>
      <c r="AK117" s="1498"/>
      <c r="AL117" s="1581"/>
      <c r="AM117" s="1589"/>
      <c r="AN117" s="1545"/>
      <c r="AO117" s="1537"/>
      <c r="AP117" s="1549"/>
      <c r="AQ117" s="1537"/>
      <c r="AR117" s="1551"/>
      <c r="AS117" s="1553"/>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2275</v>
      </c>
      <c r="U118" s="1562" t="str">
        <f>IF('別紙様式2-3（６月以降分）'!U118="","",'別紙様式2-3（６月以降分）'!U118)</f>
        <v/>
      </c>
      <c r="V118" s="1460" t="str">
        <f>IFERROR(VLOOKUP(K118,【参考】数式用!$A$5:$AB$27,MATCH(U118,【参考】数式用!$B$4:$AB$4,0)+1,0),"")</f>
        <v/>
      </c>
      <c r="W118" s="1353" t="s">
        <v>19</v>
      </c>
      <c r="X118" s="1554">
        <f>'別紙様式2-3（６月以降分）'!X118</f>
        <v>6</v>
      </c>
      <c r="Y118" s="1357" t="s">
        <v>10</v>
      </c>
      <c r="Z118" s="1554">
        <f>'別紙様式2-3（６月以降分）'!Z118</f>
        <v>6</v>
      </c>
      <c r="AA118" s="1357" t="s">
        <v>45</v>
      </c>
      <c r="AB118" s="1554">
        <f>'別紙様式2-3（６月以降分）'!AB118</f>
        <v>7</v>
      </c>
      <c r="AC118" s="1357" t="s">
        <v>10</v>
      </c>
      <c r="AD118" s="1554">
        <f>'別紙様式2-3（６月以降分）'!AD118</f>
        <v>3</v>
      </c>
      <c r="AE118" s="1357" t="s">
        <v>2188</v>
      </c>
      <c r="AF118" s="1357" t="s">
        <v>24</v>
      </c>
      <c r="AG118" s="1357">
        <f>IF(X118&gt;=1,(AB118*12+AD118)-(X118*12+Z118)+1,"")</f>
        <v>10</v>
      </c>
      <c r="AH118" s="1363" t="s">
        <v>38</v>
      </c>
      <c r="AI118" s="1484" t="str">
        <f>'別紙様式2-3（６月以降分）'!AI118</f>
        <v/>
      </c>
      <c r="AJ118" s="1556" t="str">
        <f>'別紙様式2-3（６月以降分）'!AJ118</f>
        <v/>
      </c>
      <c r="AK118" s="1584">
        <f>'別紙様式2-3（６月以降分）'!AK118</f>
        <v>0</v>
      </c>
      <c r="AL118" s="1560" t="str">
        <f>IF('別紙様式2-3（６月以降分）'!AL118="","",'別紙様式2-3（６月以降分）'!AL118)</f>
        <v/>
      </c>
      <c r="AM118" s="1572">
        <f>'別紙様式2-3（６月以降分）'!AM118</f>
        <v>0</v>
      </c>
      <c r="AN118" s="1574"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3"/>
      <c r="V119" s="1461"/>
      <c r="W119" s="1354"/>
      <c r="X119" s="1555"/>
      <c r="Y119" s="1358"/>
      <c r="Z119" s="1555"/>
      <c r="AA119" s="1358"/>
      <c r="AB119" s="1555"/>
      <c r="AC119" s="1358"/>
      <c r="AD119" s="1555"/>
      <c r="AE119" s="1358"/>
      <c r="AF119" s="1358"/>
      <c r="AG119" s="1358"/>
      <c r="AH119" s="1364"/>
      <c r="AI119" s="1485"/>
      <c r="AJ119" s="1557"/>
      <c r="AK119" s="1585"/>
      <c r="AL119" s="1561"/>
      <c r="AM119" s="1573"/>
      <c r="AN119" s="1575"/>
      <c r="AO119" s="1407"/>
      <c r="AP119" s="1567"/>
      <c r="AQ119" s="1407"/>
      <c r="AR119" s="1587"/>
      <c r="AS119" s="1569"/>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2196</v>
      </c>
      <c r="Q120" s="1507" t="str">
        <f>IFERROR(VLOOKUP('別紙様式2-2（４・５月分）'!AR92,【参考】数式用!$AT$5:$AV$22,3,FALSE),"")</f>
        <v/>
      </c>
      <c r="R120" s="1391" t="s">
        <v>2207</v>
      </c>
      <c r="S120" s="1397" t="str">
        <f>IFERROR(VLOOKUP(K118,【参考】数式用!$A$5:$AB$27,MATCH(Q120,【参考】数式用!$B$4:$AB$4,0)+1,0),"")</f>
        <v/>
      </c>
      <c r="T120" s="1462" t="s">
        <v>2285</v>
      </c>
      <c r="U120" s="1570"/>
      <c r="V120" s="1466" t="str">
        <f>IFERROR(VLOOKUP(K118,【参考】数式用!$A$5:$AB$27,MATCH(U120,【参考】数式用!$B$4:$AB$4,0)+1,0),"")</f>
        <v/>
      </c>
      <c r="W120" s="1468" t="s">
        <v>19</v>
      </c>
      <c r="X120" s="1538"/>
      <c r="Y120" s="1410" t="s">
        <v>10</v>
      </c>
      <c r="Z120" s="1538"/>
      <c r="AA120" s="1410" t="s">
        <v>45</v>
      </c>
      <c r="AB120" s="1538"/>
      <c r="AC120" s="1410" t="s">
        <v>10</v>
      </c>
      <c r="AD120" s="1538"/>
      <c r="AE120" s="1410" t="s">
        <v>2188</v>
      </c>
      <c r="AF120" s="1410" t="s">
        <v>24</v>
      </c>
      <c r="AG120" s="1410" t="str">
        <f>IF(X120&gt;=1,(AB120*12+AD120)-(X120*12+Z120)+1,"")</f>
        <v/>
      </c>
      <c r="AH120" s="1412" t="s">
        <v>38</v>
      </c>
      <c r="AI120" s="1414" t="str">
        <f t="shared" ref="AI120" si="99">IFERROR(ROUNDDOWN(ROUND(L118*V120,0)*M118,0)*AG120,"")</f>
        <v/>
      </c>
      <c r="AJ120" s="1578" t="str">
        <f>IFERROR(ROUNDDOWN(ROUND((L118*(V120-AX118)),0)*M118,0)*AG120,"")</f>
        <v/>
      </c>
      <c r="AK120" s="1497" t="str">
        <f>IFERROR(ROUNDDOWN(ROUNDDOWN(ROUND(L118*VLOOKUP(K118,【参考】数式用!$A$5:$AB$27,MATCH("新加算Ⅳ",【参考】数式用!$B$4:$AB$4,0)+1,0),0)*M118,0)*AG120*0.5,0),"")</f>
        <v/>
      </c>
      <c r="AL120" s="1580"/>
      <c r="AM120" s="1588" t="str">
        <f>IFERROR(IF('別紙様式2-2（４・５月分）'!Q94="ベア加算","", IF(OR(U120="新加算Ⅰ",U120="新加算Ⅱ",U120="新加算Ⅲ",U120="新加算Ⅳ"),ROUNDDOWN(ROUND(L118*VLOOKUP(K118,【参考】数式用!$A$5:$I$27,MATCH("ベア加算",【参考】数式用!$B$4:$I$4,0)+1,0),0)*M118,0)*AG120,"")),"")</f>
        <v/>
      </c>
      <c r="AN120" s="1544"/>
      <c r="AO120" s="1536"/>
      <c r="AP120" s="1548"/>
      <c r="AQ120" s="1536"/>
      <c r="AR120" s="1550"/>
      <c r="AS120" s="1552"/>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71"/>
      <c r="V121" s="1467"/>
      <c r="W121" s="1469"/>
      <c r="X121" s="1539"/>
      <c r="Y121" s="1411"/>
      <c r="Z121" s="1539"/>
      <c r="AA121" s="1411"/>
      <c r="AB121" s="1539"/>
      <c r="AC121" s="1411"/>
      <c r="AD121" s="1539"/>
      <c r="AE121" s="1411"/>
      <c r="AF121" s="1411"/>
      <c r="AG121" s="1411"/>
      <c r="AH121" s="1413"/>
      <c r="AI121" s="1415"/>
      <c r="AJ121" s="1579"/>
      <c r="AK121" s="1498"/>
      <c r="AL121" s="1581"/>
      <c r="AM121" s="1589"/>
      <c r="AN121" s="1545"/>
      <c r="AO121" s="1537"/>
      <c r="AP121" s="1549"/>
      <c r="AQ121" s="1537"/>
      <c r="AR121" s="1551"/>
      <c r="AS121" s="1553"/>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2275</v>
      </c>
      <c r="U122" s="1562" t="str">
        <f>IF('別紙様式2-3（６月以降分）'!U122="","",'別紙様式2-3（６月以降分）'!U122)</f>
        <v/>
      </c>
      <c r="V122" s="1460" t="str">
        <f>IFERROR(VLOOKUP(K122,【参考】数式用!$A$5:$AB$27,MATCH(U122,【参考】数式用!$B$4:$AB$4,0)+1,0),"")</f>
        <v/>
      </c>
      <c r="W122" s="1353" t="s">
        <v>19</v>
      </c>
      <c r="X122" s="1554">
        <f>'別紙様式2-3（６月以降分）'!X122</f>
        <v>6</v>
      </c>
      <c r="Y122" s="1357" t="s">
        <v>10</v>
      </c>
      <c r="Z122" s="1554">
        <f>'別紙様式2-3（６月以降分）'!Z122</f>
        <v>6</v>
      </c>
      <c r="AA122" s="1357" t="s">
        <v>45</v>
      </c>
      <c r="AB122" s="1554">
        <f>'別紙様式2-3（６月以降分）'!AB122</f>
        <v>7</v>
      </c>
      <c r="AC122" s="1357" t="s">
        <v>10</v>
      </c>
      <c r="AD122" s="1554">
        <f>'別紙様式2-3（６月以降分）'!AD122</f>
        <v>3</v>
      </c>
      <c r="AE122" s="1357" t="s">
        <v>2188</v>
      </c>
      <c r="AF122" s="1357" t="s">
        <v>24</v>
      </c>
      <c r="AG122" s="1357">
        <f>IF(X122&gt;=1,(AB122*12+AD122)-(X122*12+Z122)+1,"")</f>
        <v>10</v>
      </c>
      <c r="AH122" s="1363" t="s">
        <v>38</v>
      </c>
      <c r="AI122" s="1484" t="str">
        <f>'別紙様式2-3（６月以降分）'!AI122</f>
        <v/>
      </c>
      <c r="AJ122" s="1556" t="str">
        <f>'別紙様式2-3（６月以降分）'!AJ122</f>
        <v/>
      </c>
      <c r="AK122" s="1584">
        <f>'別紙様式2-3（６月以降分）'!AK122</f>
        <v>0</v>
      </c>
      <c r="AL122" s="1560" t="str">
        <f>IF('別紙様式2-3（６月以降分）'!AL122="","",'別紙様式2-3（６月以降分）'!AL122)</f>
        <v/>
      </c>
      <c r="AM122" s="1572">
        <f>'別紙様式2-3（６月以降分）'!AM122</f>
        <v>0</v>
      </c>
      <c r="AN122" s="1574"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3"/>
      <c r="V123" s="1461"/>
      <c r="W123" s="1354"/>
      <c r="X123" s="1555"/>
      <c r="Y123" s="1358"/>
      <c r="Z123" s="1555"/>
      <c r="AA123" s="1358"/>
      <c r="AB123" s="1555"/>
      <c r="AC123" s="1358"/>
      <c r="AD123" s="1555"/>
      <c r="AE123" s="1358"/>
      <c r="AF123" s="1358"/>
      <c r="AG123" s="1358"/>
      <c r="AH123" s="1364"/>
      <c r="AI123" s="1485"/>
      <c r="AJ123" s="1557"/>
      <c r="AK123" s="1585"/>
      <c r="AL123" s="1561"/>
      <c r="AM123" s="1573"/>
      <c r="AN123" s="1575"/>
      <c r="AO123" s="1407"/>
      <c r="AP123" s="1567"/>
      <c r="AQ123" s="1407"/>
      <c r="AR123" s="1587"/>
      <c r="AS123" s="1569"/>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2196</v>
      </c>
      <c r="Q124" s="1507" t="str">
        <f>IFERROR(VLOOKUP('別紙様式2-2（４・５月分）'!AR95,【参考】数式用!$AT$5:$AV$22,3,FALSE),"")</f>
        <v/>
      </c>
      <c r="R124" s="1391" t="s">
        <v>2207</v>
      </c>
      <c r="S124" s="1399" t="str">
        <f>IFERROR(VLOOKUP(K122,【参考】数式用!$A$5:$AB$27,MATCH(Q124,【参考】数式用!$B$4:$AB$4,0)+1,0),"")</f>
        <v/>
      </c>
      <c r="T124" s="1462" t="s">
        <v>2285</v>
      </c>
      <c r="U124" s="1570"/>
      <c r="V124" s="1466" t="str">
        <f>IFERROR(VLOOKUP(K122,【参考】数式用!$A$5:$AB$27,MATCH(U124,【参考】数式用!$B$4:$AB$4,0)+1,0),"")</f>
        <v/>
      </c>
      <c r="W124" s="1468" t="s">
        <v>19</v>
      </c>
      <c r="X124" s="1538"/>
      <c r="Y124" s="1410" t="s">
        <v>10</v>
      </c>
      <c r="Z124" s="1538"/>
      <c r="AA124" s="1410" t="s">
        <v>45</v>
      </c>
      <c r="AB124" s="1538"/>
      <c r="AC124" s="1410" t="s">
        <v>10</v>
      </c>
      <c r="AD124" s="1538"/>
      <c r="AE124" s="1410" t="s">
        <v>2188</v>
      </c>
      <c r="AF124" s="1410" t="s">
        <v>24</v>
      </c>
      <c r="AG124" s="1410" t="str">
        <f>IF(X124&gt;=1,(AB124*12+AD124)-(X124*12+Z124)+1,"")</f>
        <v/>
      </c>
      <c r="AH124" s="1412" t="s">
        <v>38</v>
      </c>
      <c r="AI124" s="1414" t="str">
        <f t="shared" ref="AI124" si="103">IFERROR(ROUNDDOWN(ROUND(L122*V124,0)*M122,0)*AG124,"")</f>
        <v/>
      </c>
      <c r="AJ124" s="1578" t="str">
        <f>IFERROR(ROUNDDOWN(ROUND((L122*(V124-AX122)),0)*M122,0)*AG124,"")</f>
        <v/>
      </c>
      <c r="AK124" s="1497" t="str">
        <f>IFERROR(ROUNDDOWN(ROUNDDOWN(ROUND(L122*VLOOKUP(K122,【参考】数式用!$A$5:$AB$27,MATCH("新加算Ⅳ",【参考】数式用!$B$4:$AB$4,0)+1,0),0)*M122,0)*AG124*0.5,0),"")</f>
        <v/>
      </c>
      <c r="AL124" s="1580"/>
      <c r="AM124" s="1588" t="str">
        <f>IFERROR(IF('別紙様式2-2（４・５月分）'!Q97="ベア加算","", IF(OR(U124="新加算Ⅰ",U124="新加算Ⅱ",U124="新加算Ⅲ",U124="新加算Ⅳ"),ROUNDDOWN(ROUND(L122*VLOOKUP(K122,【参考】数式用!$A$5:$I$27,MATCH("ベア加算",【参考】数式用!$B$4:$I$4,0)+1,0),0)*M122,0)*AG124,"")),"")</f>
        <v/>
      </c>
      <c r="AN124" s="1544"/>
      <c r="AO124" s="1536"/>
      <c r="AP124" s="1548"/>
      <c r="AQ124" s="1536"/>
      <c r="AR124" s="1550"/>
      <c r="AS124" s="1552"/>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71"/>
      <c r="V125" s="1467"/>
      <c r="W125" s="1469"/>
      <c r="X125" s="1539"/>
      <c r="Y125" s="1411"/>
      <c r="Z125" s="1539"/>
      <c r="AA125" s="1411"/>
      <c r="AB125" s="1539"/>
      <c r="AC125" s="1411"/>
      <c r="AD125" s="1539"/>
      <c r="AE125" s="1411"/>
      <c r="AF125" s="1411"/>
      <c r="AG125" s="1411"/>
      <c r="AH125" s="1413"/>
      <c r="AI125" s="1415"/>
      <c r="AJ125" s="1579"/>
      <c r="AK125" s="1498"/>
      <c r="AL125" s="1581"/>
      <c r="AM125" s="1589"/>
      <c r="AN125" s="1545"/>
      <c r="AO125" s="1537"/>
      <c r="AP125" s="1549"/>
      <c r="AQ125" s="1537"/>
      <c r="AR125" s="1551"/>
      <c r="AS125" s="1553"/>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2275</v>
      </c>
      <c r="U126" s="1562" t="str">
        <f>IF('別紙様式2-3（６月以降分）'!U126="","",'別紙様式2-3（６月以降分）'!U126)</f>
        <v/>
      </c>
      <c r="V126" s="1460" t="str">
        <f>IFERROR(VLOOKUP(K126,【参考】数式用!$A$5:$AB$27,MATCH(U126,【参考】数式用!$B$4:$AB$4,0)+1,0),"")</f>
        <v/>
      </c>
      <c r="W126" s="1353" t="s">
        <v>19</v>
      </c>
      <c r="X126" s="1554">
        <f>'別紙様式2-3（６月以降分）'!X126</f>
        <v>6</v>
      </c>
      <c r="Y126" s="1357" t="s">
        <v>10</v>
      </c>
      <c r="Z126" s="1554">
        <f>'別紙様式2-3（６月以降分）'!Z126</f>
        <v>6</v>
      </c>
      <c r="AA126" s="1357" t="s">
        <v>45</v>
      </c>
      <c r="AB126" s="1554">
        <f>'別紙様式2-3（６月以降分）'!AB126</f>
        <v>7</v>
      </c>
      <c r="AC126" s="1357" t="s">
        <v>10</v>
      </c>
      <c r="AD126" s="1554">
        <f>'別紙様式2-3（６月以降分）'!AD126</f>
        <v>3</v>
      </c>
      <c r="AE126" s="1357" t="s">
        <v>2188</v>
      </c>
      <c r="AF126" s="1357" t="s">
        <v>24</v>
      </c>
      <c r="AG126" s="1357">
        <f>IF(X126&gt;=1,(AB126*12+AD126)-(X126*12+Z126)+1,"")</f>
        <v>10</v>
      </c>
      <c r="AH126" s="1363" t="s">
        <v>38</v>
      </c>
      <c r="AI126" s="1484" t="str">
        <f>'別紙様式2-3（６月以降分）'!AI126</f>
        <v/>
      </c>
      <c r="AJ126" s="1556" t="str">
        <f>'別紙様式2-3（６月以降分）'!AJ126</f>
        <v/>
      </c>
      <c r="AK126" s="1584">
        <f>'別紙様式2-3（６月以降分）'!AK126</f>
        <v>0</v>
      </c>
      <c r="AL126" s="1560" t="str">
        <f>IF('別紙様式2-3（６月以降分）'!AL126="","",'別紙様式2-3（６月以降分）'!AL126)</f>
        <v/>
      </c>
      <c r="AM126" s="1572">
        <f>'別紙様式2-3（６月以降分）'!AM126</f>
        <v>0</v>
      </c>
      <c r="AN126" s="1574"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3"/>
      <c r="V127" s="1461"/>
      <c r="W127" s="1354"/>
      <c r="X127" s="1555"/>
      <c r="Y127" s="1358"/>
      <c r="Z127" s="1555"/>
      <c r="AA127" s="1358"/>
      <c r="AB127" s="1555"/>
      <c r="AC127" s="1358"/>
      <c r="AD127" s="1555"/>
      <c r="AE127" s="1358"/>
      <c r="AF127" s="1358"/>
      <c r="AG127" s="1358"/>
      <c r="AH127" s="1364"/>
      <c r="AI127" s="1485"/>
      <c r="AJ127" s="1557"/>
      <c r="AK127" s="1585"/>
      <c r="AL127" s="1561"/>
      <c r="AM127" s="1573"/>
      <c r="AN127" s="1575"/>
      <c r="AO127" s="1407"/>
      <c r="AP127" s="1567"/>
      <c r="AQ127" s="1407"/>
      <c r="AR127" s="1587"/>
      <c r="AS127" s="1569"/>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2196</v>
      </c>
      <c r="Q128" s="1507" t="str">
        <f>IFERROR(VLOOKUP('別紙様式2-2（４・５月分）'!AR98,【参考】数式用!$AT$5:$AV$22,3,FALSE),"")</f>
        <v/>
      </c>
      <c r="R128" s="1391" t="s">
        <v>2207</v>
      </c>
      <c r="S128" s="1397" t="str">
        <f>IFERROR(VLOOKUP(K126,【参考】数式用!$A$5:$AB$27,MATCH(Q128,【参考】数式用!$B$4:$AB$4,0)+1,0),"")</f>
        <v/>
      </c>
      <c r="T128" s="1462" t="s">
        <v>2285</v>
      </c>
      <c r="U128" s="1570"/>
      <c r="V128" s="1466" t="str">
        <f>IFERROR(VLOOKUP(K126,【参考】数式用!$A$5:$AB$27,MATCH(U128,【参考】数式用!$B$4:$AB$4,0)+1,0),"")</f>
        <v/>
      </c>
      <c r="W128" s="1468" t="s">
        <v>19</v>
      </c>
      <c r="X128" s="1538"/>
      <c r="Y128" s="1410" t="s">
        <v>10</v>
      </c>
      <c r="Z128" s="1538"/>
      <c r="AA128" s="1410" t="s">
        <v>45</v>
      </c>
      <c r="AB128" s="1538"/>
      <c r="AC128" s="1410" t="s">
        <v>10</v>
      </c>
      <c r="AD128" s="1538"/>
      <c r="AE128" s="1410" t="s">
        <v>2188</v>
      </c>
      <c r="AF128" s="1410" t="s">
        <v>24</v>
      </c>
      <c r="AG128" s="1410" t="str">
        <f>IF(X128&gt;=1,(AB128*12+AD128)-(X128*12+Z128)+1,"")</f>
        <v/>
      </c>
      <c r="AH128" s="1412" t="s">
        <v>38</v>
      </c>
      <c r="AI128" s="1414" t="str">
        <f t="shared" ref="AI128" si="107">IFERROR(ROUNDDOWN(ROUND(L126*V128,0)*M126,0)*AG128,"")</f>
        <v/>
      </c>
      <c r="AJ128" s="1578" t="str">
        <f>IFERROR(ROUNDDOWN(ROUND((L126*(V128-AX126)),0)*M126,0)*AG128,"")</f>
        <v/>
      </c>
      <c r="AK128" s="1497" t="str">
        <f>IFERROR(ROUNDDOWN(ROUNDDOWN(ROUND(L126*VLOOKUP(K126,【参考】数式用!$A$5:$AB$27,MATCH("新加算Ⅳ",【参考】数式用!$B$4:$AB$4,0)+1,0),0)*M126,0)*AG128*0.5,0),"")</f>
        <v/>
      </c>
      <c r="AL128" s="1580"/>
      <c r="AM128" s="1588" t="str">
        <f>IFERROR(IF('別紙様式2-2（４・５月分）'!Q100="ベア加算","", IF(OR(U128="新加算Ⅰ",U128="新加算Ⅱ",U128="新加算Ⅲ",U128="新加算Ⅳ"),ROUNDDOWN(ROUND(L126*VLOOKUP(K126,【参考】数式用!$A$5:$I$27,MATCH("ベア加算",【参考】数式用!$B$4:$I$4,0)+1,0),0)*M126,0)*AG128,"")),"")</f>
        <v/>
      </c>
      <c r="AN128" s="1544"/>
      <c r="AO128" s="1536"/>
      <c r="AP128" s="1548"/>
      <c r="AQ128" s="1536"/>
      <c r="AR128" s="1550"/>
      <c r="AS128" s="1552"/>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71"/>
      <c r="V129" s="1467"/>
      <c r="W129" s="1469"/>
      <c r="X129" s="1539"/>
      <c r="Y129" s="1411"/>
      <c r="Z129" s="1539"/>
      <c r="AA129" s="1411"/>
      <c r="AB129" s="1539"/>
      <c r="AC129" s="1411"/>
      <c r="AD129" s="1539"/>
      <c r="AE129" s="1411"/>
      <c r="AF129" s="1411"/>
      <c r="AG129" s="1411"/>
      <c r="AH129" s="1413"/>
      <c r="AI129" s="1415"/>
      <c r="AJ129" s="1579"/>
      <c r="AK129" s="1498"/>
      <c r="AL129" s="1581"/>
      <c r="AM129" s="1589"/>
      <c r="AN129" s="1545"/>
      <c r="AO129" s="1537"/>
      <c r="AP129" s="1549"/>
      <c r="AQ129" s="1537"/>
      <c r="AR129" s="1551"/>
      <c r="AS129" s="1553"/>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2275</v>
      </c>
      <c r="U130" s="1562" t="str">
        <f>IF('別紙様式2-3（６月以降分）'!U130="","",'別紙様式2-3（６月以降分）'!U130)</f>
        <v/>
      </c>
      <c r="V130" s="1460" t="str">
        <f>IFERROR(VLOOKUP(K130,【参考】数式用!$A$5:$AB$27,MATCH(U130,【参考】数式用!$B$4:$AB$4,0)+1,0),"")</f>
        <v/>
      </c>
      <c r="W130" s="1353" t="s">
        <v>19</v>
      </c>
      <c r="X130" s="1554">
        <f>'別紙様式2-3（６月以降分）'!X130</f>
        <v>6</v>
      </c>
      <c r="Y130" s="1357" t="s">
        <v>10</v>
      </c>
      <c r="Z130" s="1554">
        <f>'別紙様式2-3（６月以降分）'!Z130</f>
        <v>6</v>
      </c>
      <c r="AA130" s="1357" t="s">
        <v>45</v>
      </c>
      <c r="AB130" s="1554">
        <f>'別紙様式2-3（６月以降分）'!AB130</f>
        <v>7</v>
      </c>
      <c r="AC130" s="1357" t="s">
        <v>10</v>
      </c>
      <c r="AD130" s="1554">
        <f>'別紙様式2-3（６月以降分）'!AD130</f>
        <v>3</v>
      </c>
      <c r="AE130" s="1357" t="s">
        <v>2188</v>
      </c>
      <c r="AF130" s="1357" t="s">
        <v>24</v>
      </c>
      <c r="AG130" s="1357">
        <f>IF(X130&gt;=1,(AB130*12+AD130)-(X130*12+Z130)+1,"")</f>
        <v>10</v>
      </c>
      <c r="AH130" s="1363" t="s">
        <v>38</v>
      </c>
      <c r="AI130" s="1484" t="str">
        <f>'別紙様式2-3（６月以降分）'!AI130</f>
        <v/>
      </c>
      <c r="AJ130" s="1556" t="str">
        <f>'別紙様式2-3（６月以降分）'!AJ130</f>
        <v/>
      </c>
      <c r="AK130" s="1584">
        <f>'別紙様式2-3（６月以降分）'!AK130</f>
        <v>0</v>
      </c>
      <c r="AL130" s="1560" t="str">
        <f>IF('別紙様式2-3（６月以降分）'!AL130="","",'別紙様式2-3（６月以降分）'!AL130)</f>
        <v/>
      </c>
      <c r="AM130" s="1572">
        <f>'別紙様式2-3（６月以降分）'!AM130</f>
        <v>0</v>
      </c>
      <c r="AN130" s="1574"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3"/>
      <c r="V131" s="1461"/>
      <c r="W131" s="1354"/>
      <c r="X131" s="1555"/>
      <c r="Y131" s="1358"/>
      <c r="Z131" s="1555"/>
      <c r="AA131" s="1358"/>
      <c r="AB131" s="1555"/>
      <c r="AC131" s="1358"/>
      <c r="AD131" s="1555"/>
      <c r="AE131" s="1358"/>
      <c r="AF131" s="1358"/>
      <c r="AG131" s="1358"/>
      <c r="AH131" s="1364"/>
      <c r="AI131" s="1485"/>
      <c r="AJ131" s="1557"/>
      <c r="AK131" s="1585"/>
      <c r="AL131" s="1561"/>
      <c r="AM131" s="1573"/>
      <c r="AN131" s="1575"/>
      <c r="AO131" s="1407"/>
      <c r="AP131" s="1567"/>
      <c r="AQ131" s="1407"/>
      <c r="AR131" s="1587"/>
      <c r="AS131" s="1569"/>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2196</v>
      </c>
      <c r="Q132" s="1507" t="str">
        <f>IFERROR(VLOOKUP('別紙様式2-2（４・５月分）'!AR101,【参考】数式用!$AT$5:$AV$22,3,FALSE),"")</f>
        <v/>
      </c>
      <c r="R132" s="1391" t="s">
        <v>2207</v>
      </c>
      <c r="S132" s="1399" t="str">
        <f>IFERROR(VLOOKUP(K130,【参考】数式用!$A$5:$AB$27,MATCH(Q132,【参考】数式用!$B$4:$AB$4,0)+1,0),"")</f>
        <v/>
      </c>
      <c r="T132" s="1462" t="s">
        <v>2285</v>
      </c>
      <c r="U132" s="1570"/>
      <c r="V132" s="1466" t="str">
        <f>IFERROR(VLOOKUP(K130,【参考】数式用!$A$5:$AB$27,MATCH(U132,【参考】数式用!$B$4:$AB$4,0)+1,0),"")</f>
        <v/>
      </c>
      <c r="W132" s="1468" t="s">
        <v>19</v>
      </c>
      <c r="X132" s="1538"/>
      <c r="Y132" s="1410" t="s">
        <v>10</v>
      </c>
      <c r="Z132" s="1538"/>
      <c r="AA132" s="1410" t="s">
        <v>45</v>
      </c>
      <c r="AB132" s="1538"/>
      <c r="AC132" s="1410" t="s">
        <v>10</v>
      </c>
      <c r="AD132" s="1538"/>
      <c r="AE132" s="1410" t="s">
        <v>2188</v>
      </c>
      <c r="AF132" s="1410" t="s">
        <v>24</v>
      </c>
      <c r="AG132" s="1410" t="str">
        <f>IF(X132&gt;=1,(AB132*12+AD132)-(X132*12+Z132)+1,"")</f>
        <v/>
      </c>
      <c r="AH132" s="1412" t="s">
        <v>38</v>
      </c>
      <c r="AI132" s="1414" t="str">
        <f t="shared" ref="AI132" si="111">IFERROR(ROUNDDOWN(ROUND(L130*V132,0)*M130,0)*AG132,"")</f>
        <v/>
      </c>
      <c r="AJ132" s="1578" t="str">
        <f>IFERROR(ROUNDDOWN(ROUND((L130*(V132-AX130)),0)*M130,0)*AG132,"")</f>
        <v/>
      </c>
      <c r="AK132" s="1497" t="str">
        <f>IFERROR(ROUNDDOWN(ROUNDDOWN(ROUND(L130*VLOOKUP(K130,【参考】数式用!$A$5:$AB$27,MATCH("新加算Ⅳ",【参考】数式用!$B$4:$AB$4,0)+1,0),0)*M130,0)*AG132*0.5,0),"")</f>
        <v/>
      </c>
      <c r="AL132" s="1580"/>
      <c r="AM132" s="1588" t="str">
        <f>IFERROR(IF('別紙様式2-2（４・５月分）'!Q103="ベア加算","", IF(OR(U132="新加算Ⅰ",U132="新加算Ⅱ",U132="新加算Ⅲ",U132="新加算Ⅳ"),ROUNDDOWN(ROUND(L130*VLOOKUP(K130,【参考】数式用!$A$5:$I$27,MATCH("ベア加算",【参考】数式用!$B$4:$I$4,0)+1,0),0)*M130,0)*AG132,"")),"")</f>
        <v/>
      </c>
      <c r="AN132" s="1544"/>
      <c r="AO132" s="1536"/>
      <c r="AP132" s="1548"/>
      <c r="AQ132" s="1536"/>
      <c r="AR132" s="1550"/>
      <c r="AS132" s="1552"/>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71"/>
      <c r="V133" s="1467"/>
      <c r="W133" s="1469"/>
      <c r="X133" s="1539"/>
      <c r="Y133" s="1411"/>
      <c r="Z133" s="1539"/>
      <c r="AA133" s="1411"/>
      <c r="AB133" s="1539"/>
      <c r="AC133" s="1411"/>
      <c r="AD133" s="1539"/>
      <c r="AE133" s="1411"/>
      <c r="AF133" s="1411"/>
      <c r="AG133" s="1411"/>
      <c r="AH133" s="1413"/>
      <c r="AI133" s="1415"/>
      <c r="AJ133" s="1579"/>
      <c r="AK133" s="1498"/>
      <c r="AL133" s="1581"/>
      <c r="AM133" s="1589"/>
      <c r="AN133" s="1545"/>
      <c r="AO133" s="1537"/>
      <c r="AP133" s="1549"/>
      <c r="AQ133" s="1537"/>
      <c r="AR133" s="1551"/>
      <c r="AS133" s="1553"/>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2275</v>
      </c>
      <c r="U134" s="1562" t="str">
        <f>IF('別紙様式2-3（６月以降分）'!U134="","",'別紙様式2-3（６月以降分）'!U134)</f>
        <v/>
      </c>
      <c r="V134" s="1460" t="str">
        <f>IFERROR(VLOOKUP(K134,【参考】数式用!$A$5:$AB$27,MATCH(U134,【参考】数式用!$B$4:$AB$4,0)+1,0),"")</f>
        <v/>
      </c>
      <c r="W134" s="1353" t="s">
        <v>19</v>
      </c>
      <c r="X134" s="1554">
        <f>'別紙様式2-3（６月以降分）'!X134</f>
        <v>6</v>
      </c>
      <c r="Y134" s="1357" t="s">
        <v>10</v>
      </c>
      <c r="Z134" s="1554">
        <f>'別紙様式2-3（６月以降分）'!Z134</f>
        <v>6</v>
      </c>
      <c r="AA134" s="1357" t="s">
        <v>45</v>
      </c>
      <c r="AB134" s="1554">
        <f>'別紙様式2-3（６月以降分）'!AB134</f>
        <v>7</v>
      </c>
      <c r="AC134" s="1357" t="s">
        <v>10</v>
      </c>
      <c r="AD134" s="1554">
        <f>'別紙様式2-3（６月以降分）'!AD134</f>
        <v>3</v>
      </c>
      <c r="AE134" s="1357" t="s">
        <v>2188</v>
      </c>
      <c r="AF134" s="1357" t="s">
        <v>24</v>
      </c>
      <c r="AG134" s="1357">
        <f>IF(X134&gt;=1,(AB134*12+AD134)-(X134*12+Z134)+1,"")</f>
        <v>10</v>
      </c>
      <c r="AH134" s="1363" t="s">
        <v>38</v>
      </c>
      <c r="AI134" s="1484" t="str">
        <f>'別紙様式2-3（６月以降分）'!AI134</f>
        <v/>
      </c>
      <c r="AJ134" s="1556" t="str">
        <f>'別紙様式2-3（６月以降分）'!AJ134</f>
        <v/>
      </c>
      <c r="AK134" s="1584">
        <f>'別紙様式2-3（６月以降分）'!AK134</f>
        <v>0</v>
      </c>
      <c r="AL134" s="1560" t="str">
        <f>IF('別紙様式2-3（６月以降分）'!AL134="","",'別紙様式2-3（６月以降分）'!AL134)</f>
        <v/>
      </c>
      <c r="AM134" s="1572">
        <f>'別紙様式2-3（６月以降分）'!AM134</f>
        <v>0</v>
      </c>
      <c r="AN134" s="1574"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3"/>
      <c r="V135" s="1461"/>
      <c r="W135" s="1354"/>
      <c r="X135" s="1555"/>
      <c r="Y135" s="1358"/>
      <c r="Z135" s="1555"/>
      <c r="AA135" s="1358"/>
      <c r="AB135" s="1555"/>
      <c r="AC135" s="1358"/>
      <c r="AD135" s="1555"/>
      <c r="AE135" s="1358"/>
      <c r="AF135" s="1358"/>
      <c r="AG135" s="1358"/>
      <c r="AH135" s="1364"/>
      <c r="AI135" s="1485"/>
      <c r="AJ135" s="1557"/>
      <c r="AK135" s="1585"/>
      <c r="AL135" s="1561"/>
      <c r="AM135" s="1573"/>
      <c r="AN135" s="1575"/>
      <c r="AO135" s="1407"/>
      <c r="AP135" s="1567"/>
      <c r="AQ135" s="1407"/>
      <c r="AR135" s="1587"/>
      <c r="AS135" s="1569"/>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2196</v>
      </c>
      <c r="Q136" s="1507" t="str">
        <f>IFERROR(VLOOKUP('別紙様式2-2（４・５月分）'!AR104,【参考】数式用!$AT$5:$AV$22,3,FALSE),"")</f>
        <v/>
      </c>
      <c r="R136" s="1391" t="s">
        <v>2207</v>
      </c>
      <c r="S136" s="1397" t="str">
        <f>IFERROR(VLOOKUP(K134,【参考】数式用!$A$5:$AB$27,MATCH(Q136,【参考】数式用!$B$4:$AB$4,0)+1,0),"")</f>
        <v/>
      </c>
      <c r="T136" s="1462" t="s">
        <v>2285</v>
      </c>
      <c r="U136" s="1570"/>
      <c r="V136" s="1466" t="str">
        <f>IFERROR(VLOOKUP(K134,【参考】数式用!$A$5:$AB$27,MATCH(U136,【参考】数式用!$B$4:$AB$4,0)+1,0),"")</f>
        <v/>
      </c>
      <c r="W136" s="1468" t="s">
        <v>19</v>
      </c>
      <c r="X136" s="1538"/>
      <c r="Y136" s="1410" t="s">
        <v>10</v>
      </c>
      <c r="Z136" s="1538"/>
      <c r="AA136" s="1410" t="s">
        <v>45</v>
      </c>
      <c r="AB136" s="1538"/>
      <c r="AC136" s="1410" t="s">
        <v>10</v>
      </c>
      <c r="AD136" s="1538"/>
      <c r="AE136" s="1410" t="s">
        <v>2188</v>
      </c>
      <c r="AF136" s="1410" t="s">
        <v>24</v>
      </c>
      <c r="AG136" s="1410" t="str">
        <f>IF(X136&gt;=1,(AB136*12+AD136)-(X136*12+Z136)+1,"")</f>
        <v/>
      </c>
      <c r="AH136" s="1412" t="s">
        <v>38</v>
      </c>
      <c r="AI136" s="1414" t="str">
        <f t="shared" ref="AI136" si="115">IFERROR(ROUNDDOWN(ROUND(L134*V136,0)*M134,0)*AG136,"")</f>
        <v/>
      </c>
      <c r="AJ136" s="1578" t="str">
        <f>IFERROR(ROUNDDOWN(ROUND((L134*(V136-AX134)),0)*M134,0)*AG136,"")</f>
        <v/>
      </c>
      <c r="AK136" s="1497" t="str">
        <f>IFERROR(ROUNDDOWN(ROUNDDOWN(ROUND(L134*VLOOKUP(K134,【参考】数式用!$A$5:$AB$27,MATCH("新加算Ⅳ",【参考】数式用!$B$4:$AB$4,0)+1,0),0)*M134,0)*AG136*0.5,0),"")</f>
        <v/>
      </c>
      <c r="AL136" s="1580"/>
      <c r="AM136" s="1588" t="str">
        <f>IFERROR(IF('別紙様式2-2（４・５月分）'!Q106="ベア加算","", IF(OR(U136="新加算Ⅰ",U136="新加算Ⅱ",U136="新加算Ⅲ",U136="新加算Ⅳ"),ROUNDDOWN(ROUND(L134*VLOOKUP(K134,【参考】数式用!$A$5:$I$27,MATCH("ベア加算",【参考】数式用!$B$4:$I$4,0)+1,0),0)*M134,0)*AG136,"")),"")</f>
        <v/>
      </c>
      <c r="AN136" s="1544"/>
      <c r="AO136" s="1536"/>
      <c r="AP136" s="1548"/>
      <c r="AQ136" s="1536"/>
      <c r="AR136" s="1550"/>
      <c r="AS136" s="1552"/>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71"/>
      <c r="V137" s="1467"/>
      <c r="W137" s="1469"/>
      <c r="X137" s="1539"/>
      <c r="Y137" s="1411"/>
      <c r="Z137" s="1539"/>
      <c r="AA137" s="1411"/>
      <c r="AB137" s="1539"/>
      <c r="AC137" s="1411"/>
      <c r="AD137" s="1539"/>
      <c r="AE137" s="1411"/>
      <c r="AF137" s="1411"/>
      <c r="AG137" s="1411"/>
      <c r="AH137" s="1413"/>
      <c r="AI137" s="1415"/>
      <c r="AJ137" s="1579"/>
      <c r="AK137" s="1498"/>
      <c r="AL137" s="1581"/>
      <c r="AM137" s="1589"/>
      <c r="AN137" s="1545"/>
      <c r="AO137" s="1537"/>
      <c r="AP137" s="1549"/>
      <c r="AQ137" s="1537"/>
      <c r="AR137" s="1551"/>
      <c r="AS137" s="1553"/>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2275</v>
      </c>
      <c r="U138" s="1562" t="str">
        <f>IF('別紙様式2-3（６月以降分）'!U138="","",'別紙様式2-3（６月以降分）'!U138)</f>
        <v/>
      </c>
      <c r="V138" s="1460" t="str">
        <f>IFERROR(VLOOKUP(K138,【参考】数式用!$A$5:$AB$27,MATCH(U138,【参考】数式用!$B$4:$AB$4,0)+1,0),"")</f>
        <v/>
      </c>
      <c r="W138" s="1353" t="s">
        <v>19</v>
      </c>
      <c r="X138" s="1554">
        <f>'別紙様式2-3（６月以降分）'!X138</f>
        <v>6</v>
      </c>
      <c r="Y138" s="1357" t="s">
        <v>10</v>
      </c>
      <c r="Z138" s="1554">
        <f>'別紙様式2-3（６月以降分）'!Z138</f>
        <v>6</v>
      </c>
      <c r="AA138" s="1357" t="s">
        <v>45</v>
      </c>
      <c r="AB138" s="1554">
        <f>'別紙様式2-3（６月以降分）'!AB138</f>
        <v>7</v>
      </c>
      <c r="AC138" s="1357" t="s">
        <v>10</v>
      </c>
      <c r="AD138" s="1554">
        <f>'別紙様式2-3（６月以降分）'!AD138</f>
        <v>3</v>
      </c>
      <c r="AE138" s="1357" t="s">
        <v>2188</v>
      </c>
      <c r="AF138" s="1357" t="s">
        <v>24</v>
      </c>
      <c r="AG138" s="1357">
        <f>IF(X138&gt;=1,(AB138*12+AD138)-(X138*12+Z138)+1,"")</f>
        <v>10</v>
      </c>
      <c r="AH138" s="1363" t="s">
        <v>38</v>
      </c>
      <c r="AI138" s="1484" t="str">
        <f>'別紙様式2-3（６月以降分）'!AI138</f>
        <v/>
      </c>
      <c r="AJ138" s="1556" t="str">
        <f>'別紙様式2-3（６月以降分）'!AJ138</f>
        <v/>
      </c>
      <c r="AK138" s="1584">
        <f>'別紙様式2-3（６月以降分）'!AK138</f>
        <v>0</v>
      </c>
      <c r="AL138" s="1560" t="str">
        <f>IF('別紙様式2-3（６月以降分）'!AL138="","",'別紙様式2-3（６月以降分）'!AL138)</f>
        <v/>
      </c>
      <c r="AM138" s="1572">
        <f>'別紙様式2-3（６月以降分）'!AM138</f>
        <v>0</v>
      </c>
      <c r="AN138" s="1574"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3"/>
      <c r="V139" s="1461"/>
      <c r="W139" s="1354"/>
      <c r="X139" s="1555"/>
      <c r="Y139" s="1358"/>
      <c r="Z139" s="1555"/>
      <c r="AA139" s="1358"/>
      <c r="AB139" s="1555"/>
      <c r="AC139" s="1358"/>
      <c r="AD139" s="1555"/>
      <c r="AE139" s="1358"/>
      <c r="AF139" s="1358"/>
      <c r="AG139" s="1358"/>
      <c r="AH139" s="1364"/>
      <c r="AI139" s="1485"/>
      <c r="AJ139" s="1557"/>
      <c r="AK139" s="1585"/>
      <c r="AL139" s="1561"/>
      <c r="AM139" s="1573"/>
      <c r="AN139" s="1575"/>
      <c r="AO139" s="1407"/>
      <c r="AP139" s="1567"/>
      <c r="AQ139" s="1407"/>
      <c r="AR139" s="1587"/>
      <c r="AS139" s="1569"/>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2196</v>
      </c>
      <c r="Q140" s="1507" t="str">
        <f>IFERROR(VLOOKUP('別紙様式2-2（４・５月分）'!AR107,【参考】数式用!$AT$5:$AV$22,3,FALSE),"")</f>
        <v/>
      </c>
      <c r="R140" s="1391" t="s">
        <v>2207</v>
      </c>
      <c r="S140" s="1399" t="str">
        <f>IFERROR(VLOOKUP(K138,【参考】数式用!$A$5:$AB$27,MATCH(Q140,【参考】数式用!$B$4:$AB$4,0)+1,0),"")</f>
        <v/>
      </c>
      <c r="T140" s="1462" t="s">
        <v>2285</v>
      </c>
      <c r="U140" s="1570"/>
      <c r="V140" s="1466" t="str">
        <f>IFERROR(VLOOKUP(K138,【参考】数式用!$A$5:$AB$27,MATCH(U140,【参考】数式用!$B$4:$AB$4,0)+1,0),"")</f>
        <v/>
      </c>
      <c r="W140" s="1468" t="s">
        <v>19</v>
      </c>
      <c r="X140" s="1538"/>
      <c r="Y140" s="1410" t="s">
        <v>10</v>
      </c>
      <c r="Z140" s="1538"/>
      <c r="AA140" s="1410" t="s">
        <v>45</v>
      </c>
      <c r="AB140" s="1538"/>
      <c r="AC140" s="1410" t="s">
        <v>10</v>
      </c>
      <c r="AD140" s="1538"/>
      <c r="AE140" s="1410" t="s">
        <v>2188</v>
      </c>
      <c r="AF140" s="1410" t="s">
        <v>24</v>
      </c>
      <c r="AG140" s="1410" t="str">
        <f>IF(X140&gt;=1,(AB140*12+AD140)-(X140*12+Z140)+1,"")</f>
        <v/>
      </c>
      <c r="AH140" s="1412" t="s">
        <v>38</v>
      </c>
      <c r="AI140" s="1414" t="str">
        <f t="shared" ref="AI140" si="119">IFERROR(ROUNDDOWN(ROUND(L138*V140,0)*M138,0)*AG140,"")</f>
        <v/>
      </c>
      <c r="AJ140" s="1578" t="str">
        <f>IFERROR(ROUNDDOWN(ROUND((L138*(V140-AX138)),0)*M138,0)*AG140,"")</f>
        <v/>
      </c>
      <c r="AK140" s="1497" t="str">
        <f>IFERROR(ROUNDDOWN(ROUNDDOWN(ROUND(L138*VLOOKUP(K138,【参考】数式用!$A$5:$AB$27,MATCH("新加算Ⅳ",【参考】数式用!$B$4:$AB$4,0)+1,0),0)*M138,0)*AG140*0.5,0),"")</f>
        <v/>
      </c>
      <c r="AL140" s="1580"/>
      <c r="AM140" s="1588" t="str">
        <f>IFERROR(IF('別紙様式2-2（４・５月分）'!Q109="ベア加算","", IF(OR(U140="新加算Ⅰ",U140="新加算Ⅱ",U140="新加算Ⅲ",U140="新加算Ⅳ"),ROUNDDOWN(ROUND(L138*VLOOKUP(K138,【参考】数式用!$A$5:$I$27,MATCH("ベア加算",【参考】数式用!$B$4:$I$4,0)+1,0),0)*M138,0)*AG140,"")),"")</f>
        <v/>
      </c>
      <c r="AN140" s="1544"/>
      <c r="AO140" s="1536"/>
      <c r="AP140" s="1548"/>
      <c r="AQ140" s="1536"/>
      <c r="AR140" s="1550"/>
      <c r="AS140" s="1552"/>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71"/>
      <c r="V141" s="1467"/>
      <c r="W141" s="1469"/>
      <c r="X141" s="1539"/>
      <c r="Y141" s="1411"/>
      <c r="Z141" s="1539"/>
      <c r="AA141" s="1411"/>
      <c r="AB141" s="1539"/>
      <c r="AC141" s="1411"/>
      <c r="AD141" s="1539"/>
      <c r="AE141" s="1411"/>
      <c r="AF141" s="1411"/>
      <c r="AG141" s="1411"/>
      <c r="AH141" s="1413"/>
      <c r="AI141" s="1415"/>
      <c r="AJ141" s="1579"/>
      <c r="AK141" s="1498"/>
      <c r="AL141" s="1581"/>
      <c r="AM141" s="1589"/>
      <c r="AN141" s="1545"/>
      <c r="AO141" s="1537"/>
      <c r="AP141" s="1549"/>
      <c r="AQ141" s="1537"/>
      <c r="AR141" s="1551"/>
      <c r="AS141" s="1553"/>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2275</v>
      </c>
      <c r="U142" s="1562" t="str">
        <f>IF('別紙様式2-3（６月以降分）'!U142="","",'別紙様式2-3（６月以降分）'!U142)</f>
        <v/>
      </c>
      <c r="V142" s="1460" t="str">
        <f>IFERROR(VLOOKUP(K142,【参考】数式用!$A$5:$AB$27,MATCH(U142,【参考】数式用!$B$4:$AB$4,0)+1,0),"")</f>
        <v/>
      </c>
      <c r="W142" s="1353" t="s">
        <v>19</v>
      </c>
      <c r="X142" s="1554">
        <f>'別紙様式2-3（６月以降分）'!X142</f>
        <v>6</v>
      </c>
      <c r="Y142" s="1357" t="s">
        <v>10</v>
      </c>
      <c r="Z142" s="1554">
        <f>'別紙様式2-3（６月以降分）'!Z142</f>
        <v>6</v>
      </c>
      <c r="AA142" s="1357" t="s">
        <v>45</v>
      </c>
      <c r="AB142" s="1554">
        <f>'別紙様式2-3（６月以降分）'!AB142</f>
        <v>7</v>
      </c>
      <c r="AC142" s="1357" t="s">
        <v>10</v>
      </c>
      <c r="AD142" s="1554">
        <f>'別紙様式2-3（６月以降分）'!AD142</f>
        <v>3</v>
      </c>
      <c r="AE142" s="1357" t="s">
        <v>2188</v>
      </c>
      <c r="AF142" s="1357" t="s">
        <v>24</v>
      </c>
      <c r="AG142" s="1357">
        <f>IF(X142&gt;=1,(AB142*12+AD142)-(X142*12+Z142)+1,"")</f>
        <v>10</v>
      </c>
      <c r="AH142" s="1363" t="s">
        <v>38</v>
      </c>
      <c r="AI142" s="1484" t="str">
        <f>'別紙様式2-3（６月以降分）'!AI142</f>
        <v/>
      </c>
      <c r="AJ142" s="1556" t="str">
        <f>'別紙様式2-3（６月以降分）'!AJ142</f>
        <v/>
      </c>
      <c r="AK142" s="1584">
        <f>'別紙様式2-3（６月以降分）'!AK142</f>
        <v>0</v>
      </c>
      <c r="AL142" s="1560" t="str">
        <f>IF('別紙様式2-3（６月以降分）'!AL142="","",'別紙様式2-3（６月以降分）'!AL142)</f>
        <v/>
      </c>
      <c r="AM142" s="1572">
        <f>'別紙様式2-3（６月以降分）'!AM142</f>
        <v>0</v>
      </c>
      <c r="AN142" s="1574"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3"/>
      <c r="V143" s="1461"/>
      <c r="W143" s="1354"/>
      <c r="X143" s="1555"/>
      <c r="Y143" s="1358"/>
      <c r="Z143" s="1555"/>
      <c r="AA143" s="1358"/>
      <c r="AB143" s="1555"/>
      <c r="AC143" s="1358"/>
      <c r="AD143" s="1555"/>
      <c r="AE143" s="1358"/>
      <c r="AF143" s="1358"/>
      <c r="AG143" s="1358"/>
      <c r="AH143" s="1364"/>
      <c r="AI143" s="1485"/>
      <c r="AJ143" s="1557"/>
      <c r="AK143" s="1585"/>
      <c r="AL143" s="1561"/>
      <c r="AM143" s="1573"/>
      <c r="AN143" s="1575"/>
      <c r="AO143" s="1407"/>
      <c r="AP143" s="1567"/>
      <c r="AQ143" s="1407"/>
      <c r="AR143" s="1587"/>
      <c r="AS143" s="1569"/>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2196</v>
      </c>
      <c r="Q144" s="1507" t="str">
        <f>IFERROR(VLOOKUP('別紙様式2-2（４・５月分）'!AR110,【参考】数式用!$AT$5:$AV$22,3,FALSE),"")</f>
        <v/>
      </c>
      <c r="R144" s="1391" t="s">
        <v>2207</v>
      </c>
      <c r="S144" s="1397" t="str">
        <f>IFERROR(VLOOKUP(K142,【参考】数式用!$A$5:$AB$27,MATCH(Q144,【参考】数式用!$B$4:$AB$4,0)+1,0),"")</f>
        <v/>
      </c>
      <c r="T144" s="1462" t="s">
        <v>2285</v>
      </c>
      <c r="U144" s="1570"/>
      <c r="V144" s="1466" t="str">
        <f>IFERROR(VLOOKUP(K142,【参考】数式用!$A$5:$AB$27,MATCH(U144,【参考】数式用!$B$4:$AB$4,0)+1,0),"")</f>
        <v/>
      </c>
      <c r="W144" s="1468" t="s">
        <v>19</v>
      </c>
      <c r="X144" s="1538"/>
      <c r="Y144" s="1410" t="s">
        <v>10</v>
      </c>
      <c r="Z144" s="1538"/>
      <c r="AA144" s="1410" t="s">
        <v>45</v>
      </c>
      <c r="AB144" s="1538"/>
      <c r="AC144" s="1410" t="s">
        <v>10</v>
      </c>
      <c r="AD144" s="1538"/>
      <c r="AE144" s="1410" t="s">
        <v>2188</v>
      </c>
      <c r="AF144" s="1410" t="s">
        <v>24</v>
      </c>
      <c r="AG144" s="1410" t="str">
        <f>IF(X144&gt;=1,(AB144*12+AD144)-(X144*12+Z144)+1,"")</f>
        <v/>
      </c>
      <c r="AH144" s="1412" t="s">
        <v>38</v>
      </c>
      <c r="AI144" s="1414" t="str">
        <f t="shared" ref="AI144" si="123">IFERROR(ROUNDDOWN(ROUND(L142*V144,0)*M142,0)*AG144,"")</f>
        <v/>
      </c>
      <c r="AJ144" s="1578" t="str">
        <f>IFERROR(ROUNDDOWN(ROUND((L142*(V144-AX142)),0)*M142,0)*AG144,"")</f>
        <v/>
      </c>
      <c r="AK144" s="1497" t="str">
        <f>IFERROR(ROUNDDOWN(ROUNDDOWN(ROUND(L142*VLOOKUP(K142,【参考】数式用!$A$5:$AB$27,MATCH("新加算Ⅳ",【参考】数式用!$B$4:$AB$4,0)+1,0),0)*M142,0)*AG144*0.5,0),"")</f>
        <v/>
      </c>
      <c r="AL144" s="1580"/>
      <c r="AM144" s="1588" t="str">
        <f>IFERROR(IF('別紙様式2-2（４・５月分）'!Q112="ベア加算","", IF(OR(U144="新加算Ⅰ",U144="新加算Ⅱ",U144="新加算Ⅲ",U144="新加算Ⅳ"),ROUNDDOWN(ROUND(L142*VLOOKUP(K142,【参考】数式用!$A$5:$I$27,MATCH("ベア加算",【参考】数式用!$B$4:$I$4,0)+1,0),0)*M142,0)*AG144,"")),"")</f>
        <v/>
      </c>
      <c r="AN144" s="1544"/>
      <c r="AO144" s="1536"/>
      <c r="AP144" s="1548"/>
      <c r="AQ144" s="1536"/>
      <c r="AR144" s="1550"/>
      <c r="AS144" s="1552"/>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71"/>
      <c r="V145" s="1467"/>
      <c r="W145" s="1469"/>
      <c r="X145" s="1539"/>
      <c r="Y145" s="1411"/>
      <c r="Z145" s="1539"/>
      <c r="AA145" s="1411"/>
      <c r="AB145" s="1539"/>
      <c r="AC145" s="1411"/>
      <c r="AD145" s="1539"/>
      <c r="AE145" s="1411"/>
      <c r="AF145" s="1411"/>
      <c r="AG145" s="1411"/>
      <c r="AH145" s="1413"/>
      <c r="AI145" s="1415"/>
      <c r="AJ145" s="1579"/>
      <c r="AK145" s="1498"/>
      <c r="AL145" s="1581"/>
      <c r="AM145" s="1589"/>
      <c r="AN145" s="1545"/>
      <c r="AO145" s="1537"/>
      <c r="AP145" s="1549"/>
      <c r="AQ145" s="1537"/>
      <c r="AR145" s="1551"/>
      <c r="AS145" s="1553"/>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2275</v>
      </c>
      <c r="U146" s="1562" t="str">
        <f>IF('別紙様式2-3（６月以降分）'!U146="","",'別紙様式2-3（６月以降分）'!U146)</f>
        <v/>
      </c>
      <c r="V146" s="1460" t="str">
        <f>IFERROR(VLOOKUP(K146,【参考】数式用!$A$5:$AB$27,MATCH(U146,【参考】数式用!$B$4:$AB$4,0)+1,0),"")</f>
        <v/>
      </c>
      <c r="W146" s="1353" t="s">
        <v>19</v>
      </c>
      <c r="X146" s="1554">
        <f>'別紙様式2-3（６月以降分）'!X146</f>
        <v>6</v>
      </c>
      <c r="Y146" s="1357" t="s">
        <v>10</v>
      </c>
      <c r="Z146" s="1554">
        <f>'別紙様式2-3（６月以降分）'!Z146</f>
        <v>6</v>
      </c>
      <c r="AA146" s="1357" t="s">
        <v>45</v>
      </c>
      <c r="AB146" s="1554">
        <f>'別紙様式2-3（６月以降分）'!AB146</f>
        <v>7</v>
      </c>
      <c r="AC146" s="1357" t="s">
        <v>10</v>
      </c>
      <c r="AD146" s="1554">
        <f>'別紙様式2-3（６月以降分）'!AD146</f>
        <v>3</v>
      </c>
      <c r="AE146" s="1357" t="s">
        <v>2188</v>
      </c>
      <c r="AF146" s="1357" t="s">
        <v>24</v>
      </c>
      <c r="AG146" s="1357">
        <f>IF(X146&gt;=1,(AB146*12+AD146)-(X146*12+Z146)+1,"")</f>
        <v>10</v>
      </c>
      <c r="AH146" s="1363" t="s">
        <v>38</v>
      </c>
      <c r="AI146" s="1484" t="str">
        <f>'別紙様式2-3（６月以降分）'!AI146</f>
        <v/>
      </c>
      <c r="AJ146" s="1556" t="str">
        <f>'別紙様式2-3（６月以降分）'!AJ146</f>
        <v/>
      </c>
      <c r="AK146" s="1584">
        <f>'別紙様式2-3（６月以降分）'!AK146</f>
        <v>0</v>
      </c>
      <c r="AL146" s="1560" t="str">
        <f>IF('別紙様式2-3（６月以降分）'!AL146="","",'別紙様式2-3（６月以降分）'!AL146)</f>
        <v/>
      </c>
      <c r="AM146" s="1572">
        <f>'別紙様式2-3（６月以降分）'!AM146</f>
        <v>0</v>
      </c>
      <c r="AN146" s="1574"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3"/>
      <c r="V147" s="1461"/>
      <c r="W147" s="1354"/>
      <c r="X147" s="1555"/>
      <c r="Y147" s="1358"/>
      <c r="Z147" s="1555"/>
      <c r="AA147" s="1358"/>
      <c r="AB147" s="1555"/>
      <c r="AC147" s="1358"/>
      <c r="AD147" s="1555"/>
      <c r="AE147" s="1358"/>
      <c r="AF147" s="1358"/>
      <c r="AG147" s="1358"/>
      <c r="AH147" s="1364"/>
      <c r="AI147" s="1485"/>
      <c r="AJ147" s="1557"/>
      <c r="AK147" s="1585"/>
      <c r="AL147" s="1561"/>
      <c r="AM147" s="1573"/>
      <c r="AN147" s="1575"/>
      <c r="AO147" s="1407"/>
      <c r="AP147" s="1567"/>
      <c r="AQ147" s="1407"/>
      <c r="AR147" s="1587"/>
      <c r="AS147" s="1569"/>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2196</v>
      </c>
      <c r="Q148" s="1507" t="str">
        <f>IFERROR(VLOOKUP('別紙様式2-2（４・５月分）'!AR113,【参考】数式用!$AT$5:$AV$22,3,FALSE),"")</f>
        <v/>
      </c>
      <c r="R148" s="1391" t="s">
        <v>2207</v>
      </c>
      <c r="S148" s="1399" t="str">
        <f>IFERROR(VLOOKUP(K146,【参考】数式用!$A$5:$AB$27,MATCH(Q148,【参考】数式用!$B$4:$AB$4,0)+1,0),"")</f>
        <v/>
      </c>
      <c r="T148" s="1462" t="s">
        <v>2285</v>
      </c>
      <c r="U148" s="1570"/>
      <c r="V148" s="1466" t="str">
        <f>IFERROR(VLOOKUP(K146,【参考】数式用!$A$5:$AB$27,MATCH(U148,【参考】数式用!$B$4:$AB$4,0)+1,0),"")</f>
        <v/>
      </c>
      <c r="W148" s="1468" t="s">
        <v>19</v>
      </c>
      <c r="X148" s="1538"/>
      <c r="Y148" s="1410" t="s">
        <v>10</v>
      </c>
      <c r="Z148" s="1538"/>
      <c r="AA148" s="1410" t="s">
        <v>45</v>
      </c>
      <c r="AB148" s="1538"/>
      <c r="AC148" s="1410" t="s">
        <v>10</v>
      </c>
      <c r="AD148" s="1538"/>
      <c r="AE148" s="1410" t="s">
        <v>2188</v>
      </c>
      <c r="AF148" s="1410" t="s">
        <v>24</v>
      </c>
      <c r="AG148" s="1410" t="str">
        <f>IF(X148&gt;=1,(AB148*12+AD148)-(X148*12+Z148)+1,"")</f>
        <v/>
      </c>
      <c r="AH148" s="1412" t="s">
        <v>38</v>
      </c>
      <c r="AI148" s="1414" t="str">
        <f t="shared" ref="AI148" si="127">IFERROR(ROUNDDOWN(ROUND(L146*V148,0)*M146,0)*AG148,"")</f>
        <v/>
      </c>
      <c r="AJ148" s="1578" t="str">
        <f>IFERROR(ROUNDDOWN(ROUND((L146*(V148-AX146)),0)*M146,0)*AG148,"")</f>
        <v/>
      </c>
      <c r="AK148" s="1497" t="str">
        <f>IFERROR(ROUNDDOWN(ROUNDDOWN(ROUND(L146*VLOOKUP(K146,【参考】数式用!$A$5:$AB$27,MATCH("新加算Ⅳ",【参考】数式用!$B$4:$AB$4,0)+1,0),0)*M146,0)*AG148*0.5,0),"")</f>
        <v/>
      </c>
      <c r="AL148" s="1580"/>
      <c r="AM148" s="1588" t="str">
        <f>IFERROR(IF('別紙様式2-2（４・５月分）'!Q115="ベア加算","", IF(OR(U148="新加算Ⅰ",U148="新加算Ⅱ",U148="新加算Ⅲ",U148="新加算Ⅳ"),ROUNDDOWN(ROUND(L146*VLOOKUP(K146,【参考】数式用!$A$5:$I$27,MATCH("ベア加算",【参考】数式用!$B$4:$I$4,0)+1,0),0)*M146,0)*AG148,"")),"")</f>
        <v/>
      </c>
      <c r="AN148" s="1544"/>
      <c r="AO148" s="1536"/>
      <c r="AP148" s="1548"/>
      <c r="AQ148" s="1536"/>
      <c r="AR148" s="1550"/>
      <c r="AS148" s="1552"/>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71"/>
      <c r="V149" s="1467"/>
      <c r="W149" s="1469"/>
      <c r="X149" s="1539"/>
      <c r="Y149" s="1411"/>
      <c r="Z149" s="1539"/>
      <c r="AA149" s="1411"/>
      <c r="AB149" s="1539"/>
      <c r="AC149" s="1411"/>
      <c r="AD149" s="1539"/>
      <c r="AE149" s="1411"/>
      <c r="AF149" s="1411"/>
      <c r="AG149" s="1411"/>
      <c r="AH149" s="1413"/>
      <c r="AI149" s="1415"/>
      <c r="AJ149" s="1579"/>
      <c r="AK149" s="1498"/>
      <c r="AL149" s="1581"/>
      <c r="AM149" s="1589"/>
      <c r="AN149" s="1545"/>
      <c r="AO149" s="1537"/>
      <c r="AP149" s="1549"/>
      <c r="AQ149" s="1537"/>
      <c r="AR149" s="1551"/>
      <c r="AS149" s="1553"/>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2275</v>
      </c>
      <c r="U150" s="1562" t="str">
        <f>IF('別紙様式2-3（６月以降分）'!U150="","",'別紙様式2-3（６月以降分）'!U150)</f>
        <v/>
      </c>
      <c r="V150" s="1460" t="str">
        <f>IFERROR(VLOOKUP(K150,【参考】数式用!$A$5:$AB$27,MATCH(U150,【参考】数式用!$B$4:$AB$4,0)+1,0),"")</f>
        <v/>
      </c>
      <c r="W150" s="1353" t="s">
        <v>19</v>
      </c>
      <c r="X150" s="1554">
        <f>'別紙様式2-3（６月以降分）'!X150</f>
        <v>6</v>
      </c>
      <c r="Y150" s="1357" t="s">
        <v>10</v>
      </c>
      <c r="Z150" s="1554">
        <f>'別紙様式2-3（６月以降分）'!Z150</f>
        <v>6</v>
      </c>
      <c r="AA150" s="1357" t="s">
        <v>45</v>
      </c>
      <c r="AB150" s="1554">
        <f>'別紙様式2-3（６月以降分）'!AB150</f>
        <v>7</v>
      </c>
      <c r="AC150" s="1357" t="s">
        <v>10</v>
      </c>
      <c r="AD150" s="1554">
        <f>'別紙様式2-3（６月以降分）'!AD150</f>
        <v>3</v>
      </c>
      <c r="AE150" s="1357" t="s">
        <v>2188</v>
      </c>
      <c r="AF150" s="1357" t="s">
        <v>24</v>
      </c>
      <c r="AG150" s="1357">
        <f>IF(X150&gt;=1,(AB150*12+AD150)-(X150*12+Z150)+1,"")</f>
        <v>10</v>
      </c>
      <c r="AH150" s="1363" t="s">
        <v>38</v>
      </c>
      <c r="AI150" s="1484" t="str">
        <f>'別紙様式2-3（６月以降分）'!AI150</f>
        <v/>
      </c>
      <c r="AJ150" s="1556" t="str">
        <f>'別紙様式2-3（６月以降分）'!AJ150</f>
        <v/>
      </c>
      <c r="AK150" s="1584">
        <f>'別紙様式2-3（６月以降分）'!AK150</f>
        <v>0</v>
      </c>
      <c r="AL150" s="1560" t="str">
        <f>IF('別紙様式2-3（６月以降分）'!AL150="","",'別紙様式2-3（６月以降分）'!AL150)</f>
        <v/>
      </c>
      <c r="AM150" s="1572">
        <f>'別紙様式2-3（６月以降分）'!AM150</f>
        <v>0</v>
      </c>
      <c r="AN150" s="1574"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3"/>
      <c r="V151" s="1461"/>
      <c r="W151" s="1354"/>
      <c r="X151" s="1555"/>
      <c r="Y151" s="1358"/>
      <c r="Z151" s="1555"/>
      <c r="AA151" s="1358"/>
      <c r="AB151" s="1555"/>
      <c r="AC151" s="1358"/>
      <c r="AD151" s="1555"/>
      <c r="AE151" s="1358"/>
      <c r="AF151" s="1358"/>
      <c r="AG151" s="1358"/>
      <c r="AH151" s="1364"/>
      <c r="AI151" s="1485"/>
      <c r="AJ151" s="1557"/>
      <c r="AK151" s="1585"/>
      <c r="AL151" s="1561"/>
      <c r="AM151" s="1573"/>
      <c r="AN151" s="1575"/>
      <c r="AO151" s="1407"/>
      <c r="AP151" s="1567"/>
      <c r="AQ151" s="1407"/>
      <c r="AR151" s="1587"/>
      <c r="AS151" s="1569"/>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2196</v>
      </c>
      <c r="Q152" s="1507" t="str">
        <f>IFERROR(VLOOKUP('別紙様式2-2（４・５月分）'!AR116,【参考】数式用!$AT$5:$AV$22,3,FALSE),"")</f>
        <v/>
      </c>
      <c r="R152" s="1391" t="s">
        <v>2207</v>
      </c>
      <c r="S152" s="1397" t="str">
        <f>IFERROR(VLOOKUP(K150,【参考】数式用!$A$5:$AB$27,MATCH(Q152,【参考】数式用!$B$4:$AB$4,0)+1,0),"")</f>
        <v/>
      </c>
      <c r="T152" s="1462" t="s">
        <v>2285</v>
      </c>
      <c r="U152" s="1570"/>
      <c r="V152" s="1466" t="str">
        <f>IFERROR(VLOOKUP(K150,【参考】数式用!$A$5:$AB$27,MATCH(U152,【参考】数式用!$B$4:$AB$4,0)+1,0),"")</f>
        <v/>
      </c>
      <c r="W152" s="1468" t="s">
        <v>19</v>
      </c>
      <c r="X152" s="1538"/>
      <c r="Y152" s="1410" t="s">
        <v>10</v>
      </c>
      <c r="Z152" s="1538"/>
      <c r="AA152" s="1410" t="s">
        <v>45</v>
      </c>
      <c r="AB152" s="1538"/>
      <c r="AC152" s="1410" t="s">
        <v>10</v>
      </c>
      <c r="AD152" s="1538"/>
      <c r="AE152" s="1410" t="s">
        <v>2188</v>
      </c>
      <c r="AF152" s="1410" t="s">
        <v>24</v>
      </c>
      <c r="AG152" s="1410" t="str">
        <f>IF(X152&gt;=1,(AB152*12+AD152)-(X152*12+Z152)+1,"")</f>
        <v/>
      </c>
      <c r="AH152" s="1412" t="s">
        <v>38</v>
      </c>
      <c r="AI152" s="1414" t="str">
        <f t="shared" ref="AI152" si="131">IFERROR(ROUNDDOWN(ROUND(L150*V152,0)*M150,0)*AG152,"")</f>
        <v/>
      </c>
      <c r="AJ152" s="1578" t="str">
        <f>IFERROR(ROUNDDOWN(ROUND((L150*(V152-AX150)),0)*M150,0)*AG152,"")</f>
        <v/>
      </c>
      <c r="AK152" s="1497" t="str">
        <f>IFERROR(ROUNDDOWN(ROUNDDOWN(ROUND(L150*VLOOKUP(K150,【参考】数式用!$A$5:$AB$27,MATCH("新加算Ⅳ",【参考】数式用!$B$4:$AB$4,0)+1,0),0)*M150,0)*AG152*0.5,0),"")</f>
        <v/>
      </c>
      <c r="AL152" s="1580"/>
      <c r="AM152" s="1588" t="str">
        <f>IFERROR(IF('別紙様式2-2（４・５月分）'!Q118="ベア加算","", IF(OR(U152="新加算Ⅰ",U152="新加算Ⅱ",U152="新加算Ⅲ",U152="新加算Ⅳ"),ROUNDDOWN(ROUND(L150*VLOOKUP(K150,【参考】数式用!$A$5:$I$27,MATCH("ベア加算",【参考】数式用!$B$4:$I$4,0)+1,0),0)*M150,0)*AG152,"")),"")</f>
        <v/>
      </c>
      <c r="AN152" s="1544"/>
      <c r="AO152" s="1536"/>
      <c r="AP152" s="1548"/>
      <c r="AQ152" s="1536"/>
      <c r="AR152" s="1550"/>
      <c r="AS152" s="1552"/>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71"/>
      <c r="V153" s="1467"/>
      <c r="W153" s="1469"/>
      <c r="X153" s="1539"/>
      <c r="Y153" s="1411"/>
      <c r="Z153" s="1539"/>
      <c r="AA153" s="1411"/>
      <c r="AB153" s="1539"/>
      <c r="AC153" s="1411"/>
      <c r="AD153" s="1539"/>
      <c r="AE153" s="1411"/>
      <c r="AF153" s="1411"/>
      <c r="AG153" s="1411"/>
      <c r="AH153" s="1413"/>
      <c r="AI153" s="1415"/>
      <c r="AJ153" s="1579"/>
      <c r="AK153" s="1498"/>
      <c r="AL153" s="1581"/>
      <c r="AM153" s="1589"/>
      <c r="AN153" s="1545"/>
      <c r="AO153" s="1537"/>
      <c r="AP153" s="1549"/>
      <c r="AQ153" s="1537"/>
      <c r="AR153" s="1551"/>
      <c r="AS153" s="1553"/>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2275</v>
      </c>
      <c r="U154" s="1562" t="str">
        <f>IF('別紙様式2-3（６月以降分）'!U154="","",'別紙様式2-3（６月以降分）'!U154)</f>
        <v/>
      </c>
      <c r="V154" s="1460" t="str">
        <f>IFERROR(VLOOKUP(K154,【参考】数式用!$A$5:$AB$27,MATCH(U154,【参考】数式用!$B$4:$AB$4,0)+1,0),"")</f>
        <v/>
      </c>
      <c r="W154" s="1353" t="s">
        <v>19</v>
      </c>
      <c r="X154" s="1554">
        <f>'別紙様式2-3（６月以降分）'!X154</f>
        <v>6</v>
      </c>
      <c r="Y154" s="1357" t="s">
        <v>10</v>
      </c>
      <c r="Z154" s="1554">
        <f>'別紙様式2-3（６月以降分）'!Z154</f>
        <v>6</v>
      </c>
      <c r="AA154" s="1357" t="s">
        <v>45</v>
      </c>
      <c r="AB154" s="1554">
        <f>'別紙様式2-3（６月以降分）'!AB154</f>
        <v>7</v>
      </c>
      <c r="AC154" s="1357" t="s">
        <v>10</v>
      </c>
      <c r="AD154" s="1554">
        <f>'別紙様式2-3（６月以降分）'!AD154</f>
        <v>3</v>
      </c>
      <c r="AE154" s="1357" t="s">
        <v>2188</v>
      </c>
      <c r="AF154" s="1357" t="s">
        <v>24</v>
      </c>
      <c r="AG154" s="1357">
        <f>IF(X154&gt;=1,(AB154*12+AD154)-(X154*12+Z154)+1,"")</f>
        <v>10</v>
      </c>
      <c r="AH154" s="1363" t="s">
        <v>38</v>
      </c>
      <c r="AI154" s="1484" t="str">
        <f>'別紙様式2-3（６月以降分）'!AI154</f>
        <v/>
      </c>
      <c r="AJ154" s="1556" t="str">
        <f>'別紙様式2-3（６月以降分）'!AJ154</f>
        <v/>
      </c>
      <c r="AK154" s="1584">
        <f>'別紙様式2-3（６月以降分）'!AK154</f>
        <v>0</v>
      </c>
      <c r="AL154" s="1560" t="str">
        <f>IF('別紙様式2-3（６月以降分）'!AL154="","",'別紙様式2-3（６月以降分）'!AL154)</f>
        <v/>
      </c>
      <c r="AM154" s="1572">
        <f>'別紙様式2-3（６月以降分）'!AM154</f>
        <v>0</v>
      </c>
      <c r="AN154" s="1574"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3"/>
      <c r="V155" s="1461"/>
      <c r="W155" s="1354"/>
      <c r="X155" s="1555"/>
      <c r="Y155" s="1358"/>
      <c r="Z155" s="1555"/>
      <c r="AA155" s="1358"/>
      <c r="AB155" s="1555"/>
      <c r="AC155" s="1358"/>
      <c r="AD155" s="1555"/>
      <c r="AE155" s="1358"/>
      <c r="AF155" s="1358"/>
      <c r="AG155" s="1358"/>
      <c r="AH155" s="1364"/>
      <c r="AI155" s="1485"/>
      <c r="AJ155" s="1557"/>
      <c r="AK155" s="1585"/>
      <c r="AL155" s="1561"/>
      <c r="AM155" s="1573"/>
      <c r="AN155" s="1575"/>
      <c r="AO155" s="1407"/>
      <c r="AP155" s="1567"/>
      <c r="AQ155" s="1407"/>
      <c r="AR155" s="1587"/>
      <c r="AS155" s="1569"/>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2196</v>
      </c>
      <c r="Q156" s="1507" t="str">
        <f>IFERROR(VLOOKUP('別紙様式2-2（４・５月分）'!AR119,【参考】数式用!$AT$5:$AV$22,3,FALSE),"")</f>
        <v/>
      </c>
      <c r="R156" s="1391" t="s">
        <v>2207</v>
      </c>
      <c r="S156" s="1399" t="str">
        <f>IFERROR(VLOOKUP(K154,【参考】数式用!$A$5:$AB$27,MATCH(Q156,【参考】数式用!$B$4:$AB$4,0)+1,0),"")</f>
        <v/>
      </c>
      <c r="T156" s="1462" t="s">
        <v>2285</v>
      </c>
      <c r="U156" s="1570"/>
      <c r="V156" s="1466" t="str">
        <f>IFERROR(VLOOKUP(K154,【参考】数式用!$A$5:$AB$27,MATCH(U156,【参考】数式用!$B$4:$AB$4,0)+1,0),"")</f>
        <v/>
      </c>
      <c r="W156" s="1468" t="s">
        <v>19</v>
      </c>
      <c r="X156" s="1538"/>
      <c r="Y156" s="1410" t="s">
        <v>10</v>
      </c>
      <c r="Z156" s="1538"/>
      <c r="AA156" s="1410" t="s">
        <v>45</v>
      </c>
      <c r="AB156" s="1538"/>
      <c r="AC156" s="1410" t="s">
        <v>10</v>
      </c>
      <c r="AD156" s="1538"/>
      <c r="AE156" s="1410" t="s">
        <v>2188</v>
      </c>
      <c r="AF156" s="1410" t="s">
        <v>24</v>
      </c>
      <c r="AG156" s="1410" t="str">
        <f>IF(X156&gt;=1,(AB156*12+AD156)-(X156*12+Z156)+1,"")</f>
        <v/>
      </c>
      <c r="AH156" s="1412" t="s">
        <v>38</v>
      </c>
      <c r="AI156" s="1414" t="str">
        <f t="shared" ref="AI156" si="135">IFERROR(ROUNDDOWN(ROUND(L154*V156,0)*M154,0)*AG156,"")</f>
        <v/>
      </c>
      <c r="AJ156" s="1578" t="str">
        <f>IFERROR(ROUNDDOWN(ROUND((L154*(V156-AX154)),0)*M154,0)*AG156,"")</f>
        <v/>
      </c>
      <c r="AK156" s="1497" t="str">
        <f>IFERROR(ROUNDDOWN(ROUNDDOWN(ROUND(L154*VLOOKUP(K154,【参考】数式用!$A$5:$AB$27,MATCH("新加算Ⅳ",【参考】数式用!$B$4:$AB$4,0)+1,0),0)*M154,0)*AG156*0.5,0),"")</f>
        <v/>
      </c>
      <c r="AL156" s="1580"/>
      <c r="AM156" s="1588" t="str">
        <f>IFERROR(IF('別紙様式2-2（４・５月分）'!Q121="ベア加算","", IF(OR(U156="新加算Ⅰ",U156="新加算Ⅱ",U156="新加算Ⅲ",U156="新加算Ⅳ"),ROUNDDOWN(ROUND(L154*VLOOKUP(K154,【参考】数式用!$A$5:$I$27,MATCH("ベア加算",【参考】数式用!$B$4:$I$4,0)+1,0),0)*M154,0)*AG156,"")),"")</f>
        <v/>
      </c>
      <c r="AN156" s="1544"/>
      <c r="AO156" s="1536"/>
      <c r="AP156" s="1548"/>
      <c r="AQ156" s="1536"/>
      <c r="AR156" s="1550"/>
      <c r="AS156" s="1552"/>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71"/>
      <c r="V157" s="1467"/>
      <c r="W157" s="1469"/>
      <c r="X157" s="1539"/>
      <c r="Y157" s="1411"/>
      <c r="Z157" s="1539"/>
      <c r="AA157" s="1411"/>
      <c r="AB157" s="1539"/>
      <c r="AC157" s="1411"/>
      <c r="AD157" s="1539"/>
      <c r="AE157" s="1411"/>
      <c r="AF157" s="1411"/>
      <c r="AG157" s="1411"/>
      <c r="AH157" s="1413"/>
      <c r="AI157" s="1415"/>
      <c r="AJ157" s="1579"/>
      <c r="AK157" s="1498"/>
      <c r="AL157" s="1581"/>
      <c r="AM157" s="1589"/>
      <c r="AN157" s="1545"/>
      <c r="AO157" s="1537"/>
      <c r="AP157" s="1549"/>
      <c r="AQ157" s="1537"/>
      <c r="AR157" s="1551"/>
      <c r="AS157" s="1553"/>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2275</v>
      </c>
      <c r="U158" s="1562" t="str">
        <f>IF('別紙様式2-3（６月以降分）'!U158="","",'別紙様式2-3（６月以降分）'!U158)</f>
        <v/>
      </c>
      <c r="V158" s="1460" t="str">
        <f>IFERROR(VLOOKUP(K158,【参考】数式用!$A$5:$AB$27,MATCH(U158,【参考】数式用!$B$4:$AB$4,0)+1,0),"")</f>
        <v/>
      </c>
      <c r="W158" s="1353" t="s">
        <v>19</v>
      </c>
      <c r="X158" s="1554">
        <f>'別紙様式2-3（６月以降分）'!X158</f>
        <v>6</v>
      </c>
      <c r="Y158" s="1357" t="s">
        <v>10</v>
      </c>
      <c r="Z158" s="1554">
        <f>'別紙様式2-3（６月以降分）'!Z158</f>
        <v>6</v>
      </c>
      <c r="AA158" s="1357" t="s">
        <v>45</v>
      </c>
      <c r="AB158" s="1554">
        <f>'別紙様式2-3（６月以降分）'!AB158</f>
        <v>7</v>
      </c>
      <c r="AC158" s="1357" t="s">
        <v>10</v>
      </c>
      <c r="AD158" s="1554">
        <f>'別紙様式2-3（６月以降分）'!AD158</f>
        <v>3</v>
      </c>
      <c r="AE158" s="1357" t="s">
        <v>2188</v>
      </c>
      <c r="AF158" s="1357" t="s">
        <v>24</v>
      </c>
      <c r="AG158" s="1357">
        <f>IF(X158&gt;=1,(AB158*12+AD158)-(X158*12+Z158)+1,"")</f>
        <v>10</v>
      </c>
      <c r="AH158" s="1363" t="s">
        <v>38</v>
      </c>
      <c r="AI158" s="1484" t="str">
        <f>'別紙様式2-3（６月以降分）'!AI158</f>
        <v/>
      </c>
      <c r="AJ158" s="1556" t="str">
        <f>'別紙様式2-3（６月以降分）'!AJ158</f>
        <v/>
      </c>
      <c r="AK158" s="1584">
        <f>'別紙様式2-3（６月以降分）'!AK158</f>
        <v>0</v>
      </c>
      <c r="AL158" s="1560" t="str">
        <f>IF('別紙様式2-3（６月以降分）'!AL158="","",'別紙様式2-3（６月以降分）'!AL158)</f>
        <v/>
      </c>
      <c r="AM158" s="1572">
        <f>'別紙様式2-3（６月以降分）'!AM158</f>
        <v>0</v>
      </c>
      <c r="AN158" s="1574"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3"/>
      <c r="V159" s="1461"/>
      <c r="W159" s="1354"/>
      <c r="X159" s="1555"/>
      <c r="Y159" s="1358"/>
      <c r="Z159" s="1555"/>
      <c r="AA159" s="1358"/>
      <c r="AB159" s="1555"/>
      <c r="AC159" s="1358"/>
      <c r="AD159" s="1555"/>
      <c r="AE159" s="1358"/>
      <c r="AF159" s="1358"/>
      <c r="AG159" s="1358"/>
      <c r="AH159" s="1364"/>
      <c r="AI159" s="1485"/>
      <c r="AJ159" s="1557"/>
      <c r="AK159" s="1585"/>
      <c r="AL159" s="1561"/>
      <c r="AM159" s="1573"/>
      <c r="AN159" s="1575"/>
      <c r="AO159" s="1407"/>
      <c r="AP159" s="1567"/>
      <c r="AQ159" s="1407"/>
      <c r="AR159" s="1587"/>
      <c r="AS159" s="1569"/>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2196</v>
      </c>
      <c r="Q160" s="1507" t="str">
        <f>IFERROR(VLOOKUP('別紙様式2-2（４・５月分）'!AR122,【参考】数式用!$AT$5:$AV$22,3,FALSE),"")</f>
        <v/>
      </c>
      <c r="R160" s="1391" t="s">
        <v>2207</v>
      </c>
      <c r="S160" s="1397" t="str">
        <f>IFERROR(VLOOKUP(K158,【参考】数式用!$A$5:$AB$27,MATCH(Q160,【参考】数式用!$B$4:$AB$4,0)+1,0),"")</f>
        <v/>
      </c>
      <c r="T160" s="1462" t="s">
        <v>2285</v>
      </c>
      <c r="U160" s="1570"/>
      <c r="V160" s="1466" t="str">
        <f>IFERROR(VLOOKUP(K158,【参考】数式用!$A$5:$AB$27,MATCH(U160,【参考】数式用!$B$4:$AB$4,0)+1,0),"")</f>
        <v/>
      </c>
      <c r="W160" s="1468" t="s">
        <v>19</v>
      </c>
      <c r="X160" s="1538"/>
      <c r="Y160" s="1410" t="s">
        <v>10</v>
      </c>
      <c r="Z160" s="1538"/>
      <c r="AA160" s="1410" t="s">
        <v>45</v>
      </c>
      <c r="AB160" s="1538"/>
      <c r="AC160" s="1410" t="s">
        <v>10</v>
      </c>
      <c r="AD160" s="1538"/>
      <c r="AE160" s="1410" t="s">
        <v>2188</v>
      </c>
      <c r="AF160" s="1410" t="s">
        <v>24</v>
      </c>
      <c r="AG160" s="1410" t="str">
        <f>IF(X160&gt;=1,(AB160*12+AD160)-(X160*12+Z160)+1,"")</f>
        <v/>
      </c>
      <c r="AH160" s="1412" t="s">
        <v>38</v>
      </c>
      <c r="AI160" s="1414" t="str">
        <f t="shared" ref="AI160" si="139">IFERROR(ROUNDDOWN(ROUND(L158*V160,0)*M158,0)*AG160,"")</f>
        <v/>
      </c>
      <c r="AJ160" s="1578" t="str">
        <f>IFERROR(ROUNDDOWN(ROUND((L158*(V160-AX158)),0)*M158,0)*AG160,"")</f>
        <v/>
      </c>
      <c r="AK160" s="1497" t="str">
        <f>IFERROR(ROUNDDOWN(ROUNDDOWN(ROUND(L158*VLOOKUP(K158,【参考】数式用!$A$5:$AB$27,MATCH("新加算Ⅳ",【参考】数式用!$B$4:$AB$4,0)+1,0),0)*M158,0)*AG160*0.5,0),"")</f>
        <v/>
      </c>
      <c r="AL160" s="1580"/>
      <c r="AM160" s="1588" t="str">
        <f>IFERROR(IF('別紙様式2-2（４・５月分）'!Q124="ベア加算","", IF(OR(U160="新加算Ⅰ",U160="新加算Ⅱ",U160="新加算Ⅲ",U160="新加算Ⅳ"),ROUNDDOWN(ROUND(L158*VLOOKUP(K158,【参考】数式用!$A$5:$I$27,MATCH("ベア加算",【参考】数式用!$B$4:$I$4,0)+1,0),0)*M158,0)*AG160,"")),"")</f>
        <v/>
      </c>
      <c r="AN160" s="1544"/>
      <c r="AO160" s="1536"/>
      <c r="AP160" s="1548"/>
      <c r="AQ160" s="1536"/>
      <c r="AR160" s="1550"/>
      <c r="AS160" s="1552"/>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71"/>
      <c r="V161" s="1467"/>
      <c r="W161" s="1469"/>
      <c r="X161" s="1539"/>
      <c r="Y161" s="1411"/>
      <c r="Z161" s="1539"/>
      <c r="AA161" s="1411"/>
      <c r="AB161" s="1539"/>
      <c r="AC161" s="1411"/>
      <c r="AD161" s="1539"/>
      <c r="AE161" s="1411"/>
      <c r="AF161" s="1411"/>
      <c r="AG161" s="1411"/>
      <c r="AH161" s="1413"/>
      <c r="AI161" s="1415"/>
      <c r="AJ161" s="1579"/>
      <c r="AK161" s="1498"/>
      <c r="AL161" s="1581"/>
      <c r="AM161" s="1589"/>
      <c r="AN161" s="1545"/>
      <c r="AO161" s="1537"/>
      <c r="AP161" s="1549"/>
      <c r="AQ161" s="1537"/>
      <c r="AR161" s="1551"/>
      <c r="AS161" s="1553"/>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2275</v>
      </c>
      <c r="U162" s="1562" t="str">
        <f>IF('別紙様式2-3（６月以降分）'!U162="","",'別紙様式2-3（６月以降分）'!U162)</f>
        <v/>
      </c>
      <c r="V162" s="1460" t="str">
        <f>IFERROR(VLOOKUP(K162,【参考】数式用!$A$5:$AB$27,MATCH(U162,【参考】数式用!$B$4:$AB$4,0)+1,0),"")</f>
        <v/>
      </c>
      <c r="W162" s="1353" t="s">
        <v>19</v>
      </c>
      <c r="X162" s="1554">
        <f>'別紙様式2-3（６月以降分）'!X162</f>
        <v>6</v>
      </c>
      <c r="Y162" s="1357" t="s">
        <v>10</v>
      </c>
      <c r="Z162" s="1554">
        <f>'別紙様式2-3（６月以降分）'!Z162</f>
        <v>6</v>
      </c>
      <c r="AA162" s="1357" t="s">
        <v>45</v>
      </c>
      <c r="AB162" s="1554">
        <f>'別紙様式2-3（６月以降分）'!AB162</f>
        <v>7</v>
      </c>
      <c r="AC162" s="1357" t="s">
        <v>10</v>
      </c>
      <c r="AD162" s="1554">
        <f>'別紙様式2-3（６月以降分）'!AD162</f>
        <v>3</v>
      </c>
      <c r="AE162" s="1357" t="s">
        <v>2188</v>
      </c>
      <c r="AF162" s="1357" t="s">
        <v>24</v>
      </c>
      <c r="AG162" s="1357">
        <f>IF(X162&gt;=1,(AB162*12+AD162)-(X162*12+Z162)+1,"")</f>
        <v>10</v>
      </c>
      <c r="AH162" s="1363" t="s">
        <v>38</v>
      </c>
      <c r="AI162" s="1484" t="str">
        <f>'別紙様式2-3（６月以降分）'!AI162</f>
        <v/>
      </c>
      <c r="AJ162" s="1556" t="str">
        <f>'別紙様式2-3（６月以降分）'!AJ162</f>
        <v/>
      </c>
      <c r="AK162" s="1584">
        <f>'別紙様式2-3（６月以降分）'!AK162</f>
        <v>0</v>
      </c>
      <c r="AL162" s="1560" t="str">
        <f>IF('別紙様式2-3（６月以降分）'!AL162="","",'別紙様式2-3（６月以降分）'!AL162)</f>
        <v/>
      </c>
      <c r="AM162" s="1572">
        <f>'別紙様式2-3（６月以降分）'!AM162</f>
        <v>0</v>
      </c>
      <c r="AN162" s="1574"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3"/>
      <c r="V163" s="1461"/>
      <c r="W163" s="1354"/>
      <c r="X163" s="1555"/>
      <c r="Y163" s="1358"/>
      <c r="Z163" s="1555"/>
      <c r="AA163" s="1358"/>
      <c r="AB163" s="1555"/>
      <c r="AC163" s="1358"/>
      <c r="AD163" s="1555"/>
      <c r="AE163" s="1358"/>
      <c r="AF163" s="1358"/>
      <c r="AG163" s="1358"/>
      <c r="AH163" s="1364"/>
      <c r="AI163" s="1485"/>
      <c r="AJ163" s="1557"/>
      <c r="AK163" s="1585"/>
      <c r="AL163" s="1561"/>
      <c r="AM163" s="1573"/>
      <c r="AN163" s="1575"/>
      <c r="AO163" s="1407"/>
      <c r="AP163" s="1567"/>
      <c r="AQ163" s="1407"/>
      <c r="AR163" s="1587"/>
      <c r="AS163" s="1569"/>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2196</v>
      </c>
      <c r="Q164" s="1507" t="str">
        <f>IFERROR(VLOOKUP('別紙様式2-2（４・５月分）'!AR125,【参考】数式用!$AT$5:$AV$22,3,FALSE),"")</f>
        <v/>
      </c>
      <c r="R164" s="1391" t="s">
        <v>2207</v>
      </c>
      <c r="S164" s="1399" t="str">
        <f>IFERROR(VLOOKUP(K162,【参考】数式用!$A$5:$AB$27,MATCH(Q164,【参考】数式用!$B$4:$AB$4,0)+1,0),"")</f>
        <v/>
      </c>
      <c r="T164" s="1462" t="s">
        <v>2285</v>
      </c>
      <c r="U164" s="1570"/>
      <c r="V164" s="1466" t="str">
        <f>IFERROR(VLOOKUP(K162,【参考】数式用!$A$5:$AB$27,MATCH(U164,【参考】数式用!$B$4:$AB$4,0)+1,0),"")</f>
        <v/>
      </c>
      <c r="W164" s="1468" t="s">
        <v>19</v>
      </c>
      <c r="X164" s="1538"/>
      <c r="Y164" s="1410" t="s">
        <v>10</v>
      </c>
      <c r="Z164" s="1538"/>
      <c r="AA164" s="1410" t="s">
        <v>45</v>
      </c>
      <c r="AB164" s="1538"/>
      <c r="AC164" s="1410" t="s">
        <v>10</v>
      </c>
      <c r="AD164" s="1538"/>
      <c r="AE164" s="1410" t="s">
        <v>2188</v>
      </c>
      <c r="AF164" s="1410" t="s">
        <v>24</v>
      </c>
      <c r="AG164" s="1410" t="str">
        <f>IF(X164&gt;=1,(AB164*12+AD164)-(X164*12+Z164)+1,"")</f>
        <v/>
      </c>
      <c r="AH164" s="1412" t="s">
        <v>38</v>
      </c>
      <c r="AI164" s="1414" t="str">
        <f t="shared" ref="AI164" si="143">IFERROR(ROUNDDOWN(ROUND(L162*V164,0)*M162,0)*AG164,"")</f>
        <v/>
      </c>
      <c r="AJ164" s="1578" t="str">
        <f>IFERROR(ROUNDDOWN(ROUND((L162*(V164-AX162)),0)*M162,0)*AG164,"")</f>
        <v/>
      </c>
      <c r="AK164" s="1497" t="str">
        <f>IFERROR(ROUNDDOWN(ROUNDDOWN(ROUND(L162*VLOOKUP(K162,【参考】数式用!$A$5:$AB$27,MATCH("新加算Ⅳ",【参考】数式用!$B$4:$AB$4,0)+1,0),0)*M162,0)*AG164*0.5,0),"")</f>
        <v/>
      </c>
      <c r="AL164" s="1580"/>
      <c r="AM164" s="1588" t="str">
        <f>IFERROR(IF('別紙様式2-2（４・５月分）'!Q127="ベア加算","", IF(OR(U164="新加算Ⅰ",U164="新加算Ⅱ",U164="新加算Ⅲ",U164="新加算Ⅳ"),ROUNDDOWN(ROUND(L162*VLOOKUP(K162,【参考】数式用!$A$5:$I$27,MATCH("ベア加算",【参考】数式用!$B$4:$I$4,0)+1,0),0)*M162,0)*AG164,"")),"")</f>
        <v/>
      </c>
      <c r="AN164" s="1544"/>
      <c r="AO164" s="1536"/>
      <c r="AP164" s="1548"/>
      <c r="AQ164" s="1536"/>
      <c r="AR164" s="1550"/>
      <c r="AS164" s="1552"/>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71"/>
      <c r="V165" s="1467"/>
      <c r="W165" s="1469"/>
      <c r="X165" s="1539"/>
      <c r="Y165" s="1411"/>
      <c r="Z165" s="1539"/>
      <c r="AA165" s="1411"/>
      <c r="AB165" s="1539"/>
      <c r="AC165" s="1411"/>
      <c r="AD165" s="1539"/>
      <c r="AE165" s="1411"/>
      <c r="AF165" s="1411"/>
      <c r="AG165" s="1411"/>
      <c r="AH165" s="1413"/>
      <c r="AI165" s="1415"/>
      <c r="AJ165" s="1579"/>
      <c r="AK165" s="1498"/>
      <c r="AL165" s="1581"/>
      <c r="AM165" s="1589"/>
      <c r="AN165" s="1545"/>
      <c r="AO165" s="1537"/>
      <c r="AP165" s="1549"/>
      <c r="AQ165" s="1537"/>
      <c r="AR165" s="1551"/>
      <c r="AS165" s="1553"/>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2275</v>
      </c>
      <c r="U166" s="1562" t="str">
        <f>IF('別紙様式2-3（６月以降分）'!U166="","",'別紙様式2-3（６月以降分）'!U166)</f>
        <v/>
      </c>
      <c r="V166" s="1460" t="str">
        <f>IFERROR(VLOOKUP(K166,【参考】数式用!$A$5:$AB$27,MATCH(U166,【参考】数式用!$B$4:$AB$4,0)+1,0),"")</f>
        <v/>
      </c>
      <c r="W166" s="1353" t="s">
        <v>19</v>
      </c>
      <c r="X166" s="1554">
        <f>'別紙様式2-3（６月以降分）'!X166</f>
        <v>6</v>
      </c>
      <c r="Y166" s="1357" t="s">
        <v>10</v>
      </c>
      <c r="Z166" s="1554">
        <f>'別紙様式2-3（６月以降分）'!Z166</f>
        <v>6</v>
      </c>
      <c r="AA166" s="1357" t="s">
        <v>45</v>
      </c>
      <c r="AB166" s="1554">
        <f>'別紙様式2-3（６月以降分）'!AB166</f>
        <v>7</v>
      </c>
      <c r="AC166" s="1357" t="s">
        <v>10</v>
      </c>
      <c r="AD166" s="1554">
        <f>'別紙様式2-3（６月以降分）'!AD166</f>
        <v>3</v>
      </c>
      <c r="AE166" s="1357" t="s">
        <v>2188</v>
      </c>
      <c r="AF166" s="1357" t="s">
        <v>24</v>
      </c>
      <c r="AG166" s="1357">
        <f>IF(X166&gt;=1,(AB166*12+AD166)-(X166*12+Z166)+1,"")</f>
        <v>10</v>
      </c>
      <c r="AH166" s="1363" t="s">
        <v>38</v>
      </c>
      <c r="AI166" s="1484" t="str">
        <f>'別紙様式2-3（６月以降分）'!AI166</f>
        <v/>
      </c>
      <c r="AJ166" s="1556" t="str">
        <f>'別紙様式2-3（６月以降分）'!AJ166</f>
        <v/>
      </c>
      <c r="AK166" s="1584">
        <f>'別紙様式2-3（６月以降分）'!AK166</f>
        <v>0</v>
      </c>
      <c r="AL166" s="1560" t="str">
        <f>IF('別紙様式2-3（６月以降分）'!AL166="","",'別紙様式2-3（６月以降分）'!AL166)</f>
        <v/>
      </c>
      <c r="AM166" s="1572">
        <f>'別紙様式2-3（６月以降分）'!AM166</f>
        <v>0</v>
      </c>
      <c r="AN166" s="1574"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3"/>
      <c r="V167" s="1461"/>
      <c r="W167" s="1354"/>
      <c r="X167" s="1555"/>
      <c r="Y167" s="1358"/>
      <c r="Z167" s="1555"/>
      <c r="AA167" s="1358"/>
      <c r="AB167" s="1555"/>
      <c r="AC167" s="1358"/>
      <c r="AD167" s="1555"/>
      <c r="AE167" s="1358"/>
      <c r="AF167" s="1358"/>
      <c r="AG167" s="1358"/>
      <c r="AH167" s="1364"/>
      <c r="AI167" s="1485"/>
      <c r="AJ167" s="1557"/>
      <c r="AK167" s="1585"/>
      <c r="AL167" s="1561"/>
      <c r="AM167" s="1573"/>
      <c r="AN167" s="1575"/>
      <c r="AO167" s="1407"/>
      <c r="AP167" s="1567"/>
      <c r="AQ167" s="1407"/>
      <c r="AR167" s="1587"/>
      <c r="AS167" s="1569"/>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2196</v>
      </c>
      <c r="Q168" s="1507" t="str">
        <f>IFERROR(VLOOKUP('別紙様式2-2（４・５月分）'!AR128,【参考】数式用!$AT$5:$AV$22,3,FALSE),"")</f>
        <v/>
      </c>
      <c r="R168" s="1391" t="s">
        <v>2207</v>
      </c>
      <c r="S168" s="1397" t="str">
        <f>IFERROR(VLOOKUP(K166,【参考】数式用!$A$5:$AB$27,MATCH(Q168,【参考】数式用!$B$4:$AB$4,0)+1,0),"")</f>
        <v/>
      </c>
      <c r="T168" s="1462" t="s">
        <v>2285</v>
      </c>
      <c r="U168" s="1570"/>
      <c r="V168" s="1466" t="str">
        <f>IFERROR(VLOOKUP(K166,【参考】数式用!$A$5:$AB$27,MATCH(U168,【参考】数式用!$B$4:$AB$4,0)+1,0),"")</f>
        <v/>
      </c>
      <c r="W168" s="1468" t="s">
        <v>19</v>
      </c>
      <c r="X168" s="1538"/>
      <c r="Y168" s="1410" t="s">
        <v>10</v>
      </c>
      <c r="Z168" s="1538"/>
      <c r="AA168" s="1410" t="s">
        <v>45</v>
      </c>
      <c r="AB168" s="1538"/>
      <c r="AC168" s="1410" t="s">
        <v>10</v>
      </c>
      <c r="AD168" s="1538"/>
      <c r="AE168" s="1410" t="s">
        <v>2188</v>
      </c>
      <c r="AF168" s="1410" t="s">
        <v>24</v>
      </c>
      <c r="AG168" s="1410" t="str">
        <f>IF(X168&gt;=1,(AB168*12+AD168)-(X168*12+Z168)+1,"")</f>
        <v/>
      </c>
      <c r="AH168" s="1412" t="s">
        <v>38</v>
      </c>
      <c r="AI168" s="1414" t="str">
        <f t="shared" ref="AI168" si="147">IFERROR(ROUNDDOWN(ROUND(L166*V168,0)*M166,0)*AG168,"")</f>
        <v/>
      </c>
      <c r="AJ168" s="1578" t="str">
        <f>IFERROR(ROUNDDOWN(ROUND((L166*(V168-AX166)),0)*M166,0)*AG168,"")</f>
        <v/>
      </c>
      <c r="AK168" s="1497" t="str">
        <f>IFERROR(ROUNDDOWN(ROUNDDOWN(ROUND(L166*VLOOKUP(K166,【参考】数式用!$A$5:$AB$27,MATCH("新加算Ⅳ",【参考】数式用!$B$4:$AB$4,0)+1,0),0)*M166,0)*AG168*0.5,0),"")</f>
        <v/>
      </c>
      <c r="AL168" s="1580"/>
      <c r="AM168" s="1588" t="str">
        <f>IFERROR(IF('別紙様式2-2（４・５月分）'!Q130="ベア加算","", IF(OR(U168="新加算Ⅰ",U168="新加算Ⅱ",U168="新加算Ⅲ",U168="新加算Ⅳ"),ROUNDDOWN(ROUND(L166*VLOOKUP(K166,【参考】数式用!$A$5:$I$27,MATCH("ベア加算",【参考】数式用!$B$4:$I$4,0)+1,0),0)*M166,0)*AG168,"")),"")</f>
        <v/>
      </c>
      <c r="AN168" s="1544"/>
      <c r="AO168" s="1536"/>
      <c r="AP168" s="1548"/>
      <c r="AQ168" s="1536"/>
      <c r="AR168" s="1550"/>
      <c r="AS168" s="1552"/>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71"/>
      <c r="V169" s="1467"/>
      <c r="W169" s="1469"/>
      <c r="X169" s="1539"/>
      <c r="Y169" s="1411"/>
      <c r="Z169" s="1539"/>
      <c r="AA169" s="1411"/>
      <c r="AB169" s="1539"/>
      <c r="AC169" s="1411"/>
      <c r="AD169" s="1539"/>
      <c r="AE169" s="1411"/>
      <c r="AF169" s="1411"/>
      <c r="AG169" s="1411"/>
      <c r="AH169" s="1413"/>
      <c r="AI169" s="1415"/>
      <c r="AJ169" s="1579"/>
      <c r="AK169" s="1498"/>
      <c r="AL169" s="1581"/>
      <c r="AM169" s="1589"/>
      <c r="AN169" s="1545"/>
      <c r="AO169" s="1537"/>
      <c r="AP169" s="1549"/>
      <c r="AQ169" s="1537"/>
      <c r="AR169" s="1551"/>
      <c r="AS169" s="1553"/>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2275</v>
      </c>
      <c r="U170" s="1562" t="str">
        <f>IF('別紙様式2-3（６月以降分）'!U170="","",'別紙様式2-3（６月以降分）'!U170)</f>
        <v/>
      </c>
      <c r="V170" s="1460" t="str">
        <f>IFERROR(VLOOKUP(K170,【参考】数式用!$A$5:$AB$27,MATCH(U170,【参考】数式用!$B$4:$AB$4,0)+1,0),"")</f>
        <v/>
      </c>
      <c r="W170" s="1353" t="s">
        <v>19</v>
      </c>
      <c r="X170" s="1554">
        <f>'別紙様式2-3（６月以降分）'!X170</f>
        <v>6</v>
      </c>
      <c r="Y170" s="1357" t="s">
        <v>10</v>
      </c>
      <c r="Z170" s="1554">
        <f>'別紙様式2-3（６月以降分）'!Z170</f>
        <v>6</v>
      </c>
      <c r="AA170" s="1357" t="s">
        <v>45</v>
      </c>
      <c r="AB170" s="1554">
        <f>'別紙様式2-3（６月以降分）'!AB170</f>
        <v>7</v>
      </c>
      <c r="AC170" s="1357" t="s">
        <v>10</v>
      </c>
      <c r="AD170" s="1554">
        <f>'別紙様式2-3（６月以降分）'!AD170</f>
        <v>3</v>
      </c>
      <c r="AE170" s="1357" t="s">
        <v>2188</v>
      </c>
      <c r="AF170" s="1357" t="s">
        <v>24</v>
      </c>
      <c r="AG170" s="1357">
        <f>IF(X170&gt;=1,(AB170*12+AD170)-(X170*12+Z170)+1,"")</f>
        <v>10</v>
      </c>
      <c r="AH170" s="1363" t="s">
        <v>38</v>
      </c>
      <c r="AI170" s="1484" t="str">
        <f>'別紙様式2-3（６月以降分）'!AI170</f>
        <v/>
      </c>
      <c r="AJ170" s="1556" t="str">
        <f>'別紙様式2-3（６月以降分）'!AJ170</f>
        <v/>
      </c>
      <c r="AK170" s="1584">
        <f>'別紙様式2-3（６月以降分）'!AK170</f>
        <v>0</v>
      </c>
      <c r="AL170" s="1560" t="str">
        <f>IF('別紙様式2-3（６月以降分）'!AL170="","",'別紙様式2-3（６月以降分）'!AL170)</f>
        <v/>
      </c>
      <c r="AM170" s="1572">
        <f>'別紙様式2-3（６月以降分）'!AM170</f>
        <v>0</v>
      </c>
      <c r="AN170" s="1574"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3"/>
      <c r="V171" s="1461"/>
      <c r="W171" s="1354"/>
      <c r="X171" s="1555"/>
      <c r="Y171" s="1358"/>
      <c r="Z171" s="1555"/>
      <c r="AA171" s="1358"/>
      <c r="AB171" s="1555"/>
      <c r="AC171" s="1358"/>
      <c r="AD171" s="1555"/>
      <c r="AE171" s="1358"/>
      <c r="AF171" s="1358"/>
      <c r="AG171" s="1358"/>
      <c r="AH171" s="1364"/>
      <c r="AI171" s="1485"/>
      <c r="AJ171" s="1557"/>
      <c r="AK171" s="1585"/>
      <c r="AL171" s="1561"/>
      <c r="AM171" s="1573"/>
      <c r="AN171" s="1575"/>
      <c r="AO171" s="1407"/>
      <c r="AP171" s="1567"/>
      <c r="AQ171" s="1407"/>
      <c r="AR171" s="1587"/>
      <c r="AS171" s="1569"/>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2196</v>
      </c>
      <c r="Q172" s="1507" t="str">
        <f>IFERROR(VLOOKUP('別紙様式2-2（４・５月分）'!AR131,【参考】数式用!$AT$5:$AV$22,3,FALSE),"")</f>
        <v/>
      </c>
      <c r="R172" s="1391" t="s">
        <v>2207</v>
      </c>
      <c r="S172" s="1397" t="str">
        <f>IFERROR(VLOOKUP(K170,【参考】数式用!$A$5:$AB$27,MATCH(Q172,【参考】数式用!$B$4:$AB$4,0)+1,0),"")</f>
        <v/>
      </c>
      <c r="T172" s="1462" t="s">
        <v>2285</v>
      </c>
      <c r="U172" s="1570"/>
      <c r="V172" s="1466" t="str">
        <f>IFERROR(VLOOKUP(K170,【参考】数式用!$A$5:$AB$27,MATCH(U172,【参考】数式用!$B$4:$AB$4,0)+1,0),"")</f>
        <v/>
      </c>
      <c r="W172" s="1468" t="s">
        <v>19</v>
      </c>
      <c r="X172" s="1538"/>
      <c r="Y172" s="1410" t="s">
        <v>10</v>
      </c>
      <c r="Z172" s="1538"/>
      <c r="AA172" s="1410" t="s">
        <v>45</v>
      </c>
      <c r="AB172" s="1538"/>
      <c r="AC172" s="1410" t="s">
        <v>10</v>
      </c>
      <c r="AD172" s="1538"/>
      <c r="AE172" s="1410" t="s">
        <v>2188</v>
      </c>
      <c r="AF172" s="1410" t="s">
        <v>24</v>
      </c>
      <c r="AG172" s="1410" t="str">
        <f>IF(X172&gt;=1,(AB172*12+AD172)-(X172*12+Z172)+1,"")</f>
        <v/>
      </c>
      <c r="AH172" s="1412" t="s">
        <v>38</v>
      </c>
      <c r="AI172" s="1414" t="str">
        <f t="shared" ref="AI172" si="151">IFERROR(ROUNDDOWN(ROUND(L170*V172,0)*M170,0)*AG172,"")</f>
        <v/>
      </c>
      <c r="AJ172" s="1578" t="str">
        <f>IFERROR(ROUNDDOWN(ROUND((L170*(V172-AX170)),0)*M170,0)*AG172,"")</f>
        <v/>
      </c>
      <c r="AK172" s="1497" t="str">
        <f>IFERROR(ROUNDDOWN(ROUNDDOWN(ROUND(L170*VLOOKUP(K170,【参考】数式用!$A$5:$AB$27,MATCH("新加算Ⅳ",【参考】数式用!$B$4:$AB$4,0)+1,0),0)*M170,0)*AG172*0.5,0),"")</f>
        <v/>
      </c>
      <c r="AL172" s="1580"/>
      <c r="AM172" s="1588" t="str">
        <f>IFERROR(IF('別紙様式2-2（４・５月分）'!Q133="ベア加算","", IF(OR(U172="新加算Ⅰ",U172="新加算Ⅱ",U172="新加算Ⅲ",U172="新加算Ⅳ"),ROUNDDOWN(ROUND(L170*VLOOKUP(K170,【参考】数式用!$A$5:$I$27,MATCH("ベア加算",【参考】数式用!$B$4:$I$4,0)+1,0),0)*M170,0)*AG172,"")),"")</f>
        <v/>
      </c>
      <c r="AN172" s="1544"/>
      <c r="AO172" s="1536"/>
      <c r="AP172" s="1548"/>
      <c r="AQ172" s="1536"/>
      <c r="AR172" s="1550"/>
      <c r="AS172" s="1552"/>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71"/>
      <c r="V173" s="1467"/>
      <c r="W173" s="1469"/>
      <c r="X173" s="1539"/>
      <c r="Y173" s="1411"/>
      <c r="Z173" s="1539"/>
      <c r="AA173" s="1411"/>
      <c r="AB173" s="1539"/>
      <c r="AC173" s="1411"/>
      <c r="AD173" s="1539"/>
      <c r="AE173" s="1411"/>
      <c r="AF173" s="1411"/>
      <c r="AG173" s="1411"/>
      <c r="AH173" s="1413"/>
      <c r="AI173" s="1415"/>
      <c r="AJ173" s="1579"/>
      <c r="AK173" s="1498"/>
      <c r="AL173" s="1581"/>
      <c r="AM173" s="1589"/>
      <c r="AN173" s="1545"/>
      <c r="AO173" s="1537"/>
      <c r="AP173" s="1549"/>
      <c r="AQ173" s="1537"/>
      <c r="AR173" s="1551"/>
      <c r="AS173" s="1553"/>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2275</v>
      </c>
      <c r="U174" s="1562" t="str">
        <f>IF('別紙様式2-3（６月以降分）'!U174="","",'別紙様式2-3（６月以降分）'!U174)</f>
        <v/>
      </c>
      <c r="V174" s="1460" t="str">
        <f>IFERROR(VLOOKUP(K174,【参考】数式用!$A$5:$AB$27,MATCH(U174,【参考】数式用!$B$4:$AB$4,0)+1,0),"")</f>
        <v/>
      </c>
      <c r="W174" s="1353" t="s">
        <v>19</v>
      </c>
      <c r="X174" s="1554">
        <f>'別紙様式2-3（６月以降分）'!X174</f>
        <v>6</v>
      </c>
      <c r="Y174" s="1357" t="s">
        <v>10</v>
      </c>
      <c r="Z174" s="1554">
        <f>'別紙様式2-3（６月以降分）'!Z174</f>
        <v>6</v>
      </c>
      <c r="AA174" s="1357" t="s">
        <v>45</v>
      </c>
      <c r="AB174" s="1554">
        <f>'別紙様式2-3（６月以降分）'!AB174</f>
        <v>7</v>
      </c>
      <c r="AC174" s="1357" t="s">
        <v>10</v>
      </c>
      <c r="AD174" s="1554">
        <f>'別紙様式2-3（６月以降分）'!AD174</f>
        <v>3</v>
      </c>
      <c r="AE174" s="1357" t="s">
        <v>2188</v>
      </c>
      <c r="AF174" s="1357" t="s">
        <v>24</v>
      </c>
      <c r="AG174" s="1357">
        <f>IF(X174&gt;=1,(AB174*12+AD174)-(X174*12+Z174)+1,"")</f>
        <v>10</v>
      </c>
      <c r="AH174" s="1363" t="s">
        <v>38</v>
      </c>
      <c r="AI174" s="1484" t="str">
        <f>'別紙様式2-3（６月以降分）'!AI174</f>
        <v/>
      </c>
      <c r="AJ174" s="1556" t="str">
        <f>'別紙様式2-3（６月以降分）'!AJ174</f>
        <v/>
      </c>
      <c r="AK174" s="1584">
        <f>'別紙様式2-3（６月以降分）'!AK174</f>
        <v>0</v>
      </c>
      <c r="AL174" s="1560" t="str">
        <f>IF('別紙様式2-3（６月以降分）'!AL174="","",'別紙様式2-3（６月以降分）'!AL174)</f>
        <v/>
      </c>
      <c r="AM174" s="1572">
        <f>'別紙様式2-3（６月以降分）'!AM174</f>
        <v>0</v>
      </c>
      <c r="AN174" s="1574"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3"/>
      <c r="V175" s="1461"/>
      <c r="W175" s="1354"/>
      <c r="X175" s="1555"/>
      <c r="Y175" s="1358"/>
      <c r="Z175" s="1555"/>
      <c r="AA175" s="1358"/>
      <c r="AB175" s="1555"/>
      <c r="AC175" s="1358"/>
      <c r="AD175" s="1555"/>
      <c r="AE175" s="1358"/>
      <c r="AF175" s="1358"/>
      <c r="AG175" s="1358"/>
      <c r="AH175" s="1364"/>
      <c r="AI175" s="1485"/>
      <c r="AJ175" s="1557"/>
      <c r="AK175" s="1585"/>
      <c r="AL175" s="1561"/>
      <c r="AM175" s="1573"/>
      <c r="AN175" s="1575"/>
      <c r="AO175" s="1407"/>
      <c r="AP175" s="1567"/>
      <c r="AQ175" s="1407"/>
      <c r="AR175" s="1587"/>
      <c r="AS175" s="1569"/>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2196</v>
      </c>
      <c r="Q176" s="1507" t="str">
        <f>IFERROR(VLOOKUP('別紙様式2-2（４・５月分）'!AR134,【参考】数式用!$AT$5:$AV$22,3,FALSE),"")</f>
        <v/>
      </c>
      <c r="R176" s="1391" t="s">
        <v>2207</v>
      </c>
      <c r="S176" s="1399" t="str">
        <f>IFERROR(VLOOKUP(K174,【参考】数式用!$A$5:$AB$27,MATCH(Q176,【参考】数式用!$B$4:$AB$4,0)+1,0),"")</f>
        <v/>
      </c>
      <c r="T176" s="1462" t="s">
        <v>2285</v>
      </c>
      <c r="U176" s="1570"/>
      <c r="V176" s="1466" t="str">
        <f>IFERROR(VLOOKUP(K174,【参考】数式用!$A$5:$AB$27,MATCH(U176,【参考】数式用!$B$4:$AB$4,0)+1,0),"")</f>
        <v/>
      </c>
      <c r="W176" s="1468" t="s">
        <v>19</v>
      </c>
      <c r="X176" s="1538"/>
      <c r="Y176" s="1410" t="s">
        <v>10</v>
      </c>
      <c r="Z176" s="1538"/>
      <c r="AA176" s="1410" t="s">
        <v>45</v>
      </c>
      <c r="AB176" s="1538"/>
      <c r="AC176" s="1410" t="s">
        <v>10</v>
      </c>
      <c r="AD176" s="1538"/>
      <c r="AE176" s="1410" t="s">
        <v>2188</v>
      </c>
      <c r="AF176" s="1410" t="s">
        <v>24</v>
      </c>
      <c r="AG176" s="1410" t="str">
        <f>IF(X176&gt;=1,(AB176*12+AD176)-(X176*12+Z176)+1,"")</f>
        <v/>
      </c>
      <c r="AH176" s="1412" t="s">
        <v>38</v>
      </c>
      <c r="AI176" s="1414" t="str">
        <f t="shared" ref="AI176" si="155">IFERROR(ROUNDDOWN(ROUND(L174*V176,0)*M174,0)*AG176,"")</f>
        <v/>
      </c>
      <c r="AJ176" s="1578" t="str">
        <f>IFERROR(ROUNDDOWN(ROUND((L174*(V176-AX174)),0)*M174,0)*AG176,"")</f>
        <v/>
      </c>
      <c r="AK176" s="1497" t="str">
        <f>IFERROR(ROUNDDOWN(ROUNDDOWN(ROUND(L174*VLOOKUP(K174,【参考】数式用!$A$5:$AB$27,MATCH("新加算Ⅳ",【参考】数式用!$B$4:$AB$4,0)+1,0),0)*M174,0)*AG176*0.5,0),"")</f>
        <v/>
      </c>
      <c r="AL176" s="1580"/>
      <c r="AM176" s="1588" t="str">
        <f>IFERROR(IF('別紙様式2-2（４・５月分）'!Q136="ベア加算","", IF(OR(U176="新加算Ⅰ",U176="新加算Ⅱ",U176="新加算Ⅲ",U176="新加算Ⅳ"),ROUNDDOWN(ROUND(L174*VLOOKUP(K174,【参考】数式用!$A$5:$I$27,MATCH("ベア加算",【参考】数式用!$B$4:$I$4,0)+1,0),0)*M174,0)*AG176,"")),"")</f>
        <v/>
      </c>
      <c r="AN176" s="1544"/>
      <c r="AO176" s="1536"/>
      <c r="AP176" s="1548"/>
      <c r="AQ176" s="1536"/>
      <c r="AR176" s="1550"/>
      <c r="AS176" s="1552"/>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71"/>
      <c r="V177" s="1467"/>
      <c r="W177" s="1469"/>
      <c r="X177" s="1539"/>
      <c r="Y177" s="1411"/>
      <c r="Z177" s="1539"/>
      <c r="AA177" s="1411"/>
      <c r="AB177" s="1539"/>
      <c r="AC177" s="1411"/>
      <c r="AD177" s="1539"/>
      <c r="AE177" s="1411"/>
      <c r="AF177" s="1411"/>
      <c r="AG177" s="1411"/>
      <c r="AH177" s="1413"/>
      <c r="AI177" s="1415"/>
      <c r="AJ177" s="1579"/>
      <c r="AK177" s="1498"/>
      <c r="AL177" s="1581"/>
      <c r="AM177" s="1589"/>
      <c r="AN177" s="1545"/>
      <c r="AO177" s="1537"/>
      <c r="AP177" s="1549"/>
      <c r="AQ177" s="1537"/>
      <c r="AR177" s="1551"/>
      <c r="AS177" s="1553"/>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2275</v>
      </c>
      <c r="U178" s="1562" t="str">
        <f>IF('別紙様式2-3（６月以降分）'!U178="","",'別紙様式2-3（６月以降分）'!U178)</f>
        <v/>
      </c>
      <c r="V178" s="1460" t="str">
        <f>IFERROR(VLOOKUP(K178,【参考】数式用!$A$5:$AB$27,MATCH(U178,【参考】数式用!$B$4:$AB$4,0)+1,0),"")</f>
        <v/>
      </c>
      <c r="W178" s="1353" t="s">
        <v>19</v>
      </c>
      <c r="X178" s="1554">
        <f>'別紙様式2-3（６月以降分）'!X178</f>
        <v>6</v>
      </c>
      <c r="Y178" s="1357" t="s">
        <v>10</v>
      </c>
      <c r="Z178" s="1554">
        <f>'別紙様式2-3（６月以降分）'!Z178</f>
        <v>6</v>
      </c>
      <c r="AA178" s="1357" t="s">
        <v>45</v>
      </c>
      <c r="AB178" s="1554">
        <f>'別紙様式2-3（６月以降分）'!AB178</f>
        <v>7</v>
      </c>
      <c r="AC178" s="1357" t="s">
        <v>10</v>
      </c>
      <c r="AD178" s="1554">
        <f>'別紙様式2-3（６月以降分）'!AD178</f>
        <v>3</v>
      </c>
      <c r="AE178" s="1357" t="s">
        <v>2188</v>
      </c>
      <c r="AF178" s="1357" t="s">
        <v>24</v>
      </c>
      <c r="AG178" s="1357">
        <f>IF(X178&gt;=1,(AB178*12+AD178)-(X178*12+Z178)+1,"")</f>
        <v>10</v>
      </c>
      <c r="AH178" s="1363" t="s">
        <v>38</v>
      </c>
      <c r="AI178" s="1484" t="str">
        <f>'別紙様式2-3（６月以降分）'!AI178</f>
        <v/>
      </c>
      <c r="AJ178" s="1556" t="str">
        <f>'別紙様式2-3（６月以降分）'!AJ178</f>
        <v/>
      </c>
      <c r="AK178" s="1584">
        <f>'別紙様式2-3（６月以降分）'!AK178</f>
        <v>0</v>
      </c>
      <c r="AL178" s="1560" t="str">
        <f>IF('別紙様式2-3（６月以降分）'!AL178="","",'別紙様式2-3（６月以降分）'!AL178)</f>
        <v/>
      </c>
      <c r="AM178" s="1572">
        <f>'別紙様式2-3（６月以降分）'!AM178</f>
        <v>0</v>
      </c>
      <c r="AN178" s="1574"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3"/>
      <c r="V179" s="1461"/>
      <c r="W179" s="1354"/>
      <c r="X179" s="1555"/>
      <c r="Y179" s="1358"/>
      <c r="Z179" s="1555"/>
      <c r="AA179" s="1358"/>
      <c r="AB179" s="1555"/>
      <c r="AC179" s="1358"/>
      <c r="AD179" s="1555"/>
      <c r="AE179" s="1358"/>
      <c r="AF179" s="1358"/>
      <c r="AG179" s="1358"/>
      <c r="AH179" s="1364"/>
      <c r="AI179" s="1485"/>
      <c r="AJ179" s="1557"/>
      <c r="AK179" s="1585"/>
      <c r="AL179" s="1561"/>
      <c r="AM179" s="1573"/>
      <c r="AN179" s="1575"/>
      <c r="AO179" s="1407"/>
      <c r="AP179" s="1567"/>
      <c r="AQ179" s="1407"/>
      <c r="AR179" s="1587"/>
      <c r="AS179" s="1569"/>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2196</v>
      </c>
      <c r="Q180" s="1507" t="str">
        <f>IFERROR(VLOOKUP('別紙様式2-2（４・５月分）'!AR137,【参考】数式用!$AT$5:$AV$22,3,FALSE),"")</f>
        <v/>
      </c>
      <c r="R180" s="1391" t="s">
        <v>2207</v>
      </c>
      <c r="S180" s="1397" t="str">
        <f>IFERROR(VLOOKUP(K178,【参考】数式用!$A$5:$AB$27,MATCH(Q180,【参考】数式用!$B$4:$AB$4,0)+1,0),"")</f>
        <v/>
      </c>
      <c r="T180" s="1462" t="s">
        <v>2285</v>
      </c>
      <c r="U180" s="1570"/>
      <c r="V180" s="1466" t="str">
        <f>IFERROR(VLOOKUP(K178,【参考】数式用!$A$5:$AB$27,MATCH(U180,【参考】数式用!$B$4:$AB$4,0)+1,0),"")</f>
        <v/>
      </c>
      <c r="W180" s="1468" t="s">
        <v>19</v>
      </c>
      <c r="X180" s="1538"/>
      <c r="Y180" s="1410" t="s">
        <v>10</v>
      </c>
      <c r="Z180" s="1538"/>
      <c r="AA180" s="1410" t="s">
        <v>45</v>
      </c>
      <c r="AB180" s="1538"/>
      <c r="AC180" s="1410" t="s">
        <v>10</v>
      </c>
      <c r="AD180" s="1538"/>
      <c r="AE180" s="1410" t="s">
        <v>2188</v>
      </c>
      <c r="AF180" s="1410" t="s">
        <v>24</v>
      </c>
      <c r="AG180" s="1410" t="str">
        <f>IF(X180&gt;=1,(AB180*12+AD180)-(X180*12+Z180)+1,"")</f>
        <v/>
      </c>
      <c r="AH180" s="1412" t="s">
        <v>38</v>
      </c>
      <c r="AI180" s="1414" t="str">
        <f t="shared" ref="AI180" si="159">IFERROR(ROUNDDOWN(ROUND(L178*V180,0)*M178,0)*AG180,"")</f>
        <v/>
      </c>
      <c r="AJ180" s="1578" t="str">
        <f>IFERROR(ROUNDDOWN(ROUND((L178*(V180-AX178)),0)*M178,0)*AG180,"")</f>
        <v/>
      </c>
      <c r="AK180" s="1497" t="str">
        <f>IFERROR(ROUNDDOWN(ROUNDDOWN(ROUND(L178*VLOOKUP(K178,【参考】数式用!$A$5:$AB$27,MATCH("新加算Ⅳ",【参考】数式用!$B$4:$AB$4,0)+1,0),0)*M178,0)*AG180*0.5,0),"")</f>
        <v/>
      </c>
      <c r="AL180" s="1580"/>
      <c r="AM180" s="1588" t="str">
        <f>IFERROR(IF('別紙様式2-2（４・５月分）'!Q139="ベア加算","", IF(OR(U180="新加算Ⅰ",U180="新加算Ⅱ",U180="新加算Ⅲ",U180="新加算Ⅳ"),ROUNDDOWN(ROUND(L178*VLOOKUP(K178,【参考】数式用!$A$5:$I$27,MATCH("ベア加算",【参考】数式用!$B$4:$I$4,0)+1,0),0)*M178,0)*AG180,"")),"")</f>
        <v/>
      </c>
      <c r="AN180" s="1544"/>
      <c r="AO180" s="1536"/>
      <c r="AP180" s="1548"/>
      <c r="AQ180" s="1536"/>
      <c r="AR180" s="1550"/>
      <c r="AS180" s="1552"/>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71"/>
      <c r="V181" s="1467"/>
      <c r="W181" s="1469"/>
      <c r="X181" s="1539"/>
      <c r="Y181" s="1411"/>
      <c r="Z181" s="1539"/>
      <c r="AA181" s="1411"/>
      <c r="AB181" s="1539"/>
      <c r="AC181" s="1411"/>
      <c r="AD181" s="1539"/>
      <c r="AE181" s="1411"/>
      <c r="AF181" s="1411"/>
      <c r="AG181" s="1411"/>
      <c r="AH181" s="1413"/>
      <c r="AI181" s="1415"/>
      <c r="AJ181" s="1579"/>
      <c r="AK181" s="1498"/>
      <c r="AL181" s="1581"/>
      <c r="AM181" s="1589"/>
      <c r="AN181" s="1545"/>
      <c r="AO181" s="1537"/>
      <c r="AP181" s="1549"/>
      <c r="AQ181" s="1537"/>
      <c r="AR181" s="1551"/>
      <c r="AS181" s="1553"/>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2275</v>
      </c>
      <c r="U182" s="1562" t="str">
        <f>IF('別紙様式2-3（６月以降分）'!U182="","",'別紙様式2-3（６月以降分）'!U182)</f>
        <v/>
      </c>
      <c r="V182" s="1460" t="str">
        <f>IFERROR(VLOOKUP(K182,【参考】数式用!$A$5:$AB$27,MATCH(U182,【参考】数式用!$B$4:$AB$4,0)+1,0),"")</f>
        <v/>
      </c>
      <c r="W182" s="1353" t="s">
        <v>19</v>
      </c>
      <c r="X182" s="1554">
        <f>'別紙様式2-3（６月以降分）'!X182</f>
        <v>6</v>
      </c>
      <c r="Y182" s="1357" t="s">
        <v>10</v>
      </c>
      <c r="Z182" s="1554">
        <f>'別紙様式2-3（６月以降分）'!Z182</f>
        <v>6</v>
      </c>
      <c r="AA182" s="1357" t="s">
        <v>45</v>
      </c>
      <c r="AB182" s="1554">
        <f>'別紙様式2-3（６月以降分）'!AB182</f>
        <v>7</v>
      </c>
      <c r="AC182" s="1357" t="s">
        <v>10</v>
      </c>
      <c r="AD182" s="1554">
        <f>'別紙様式2-3（６月以降分）'!AD182</f>
        <v>3</v>
      </c>
      <c r="AE182" s="1357" t="s">
        <v>2188</v>
      </c>
      <c r="AF182" s="1357" t="s">
        <v>24</v>
      </c>
      <c r="AG182" s="1357">
        <f>IF(X182&gt;=1,(AB182*12+AD182)-(X182*12+Z182)+1,"")</f>
        <v>10</v>
      </c>
      <c r="AH182" s="1363" t="s">
        <v>38</v>
      </c>
      <c r="AI182" s="1484" t="str">
        <f>'別紙様式2-3（６月以降分）'!AI182</f>
        <v/>
      </c>
      <c r="AJ182" s="1556" t="str">
        <f>'別紙様式2-3（６月以降分）'!AJ182</f>
        <v/>
      </c>
      <c r="AK182" s="1584">
        <f>'別紙様式2-3（６月以降分）'!AK182</f>
        <v>0</v>
      </c>
      <c r="AL182" s="1560" t="str">
        <f>IF('別紙様式2-3（６月以降分）'!AL182="","",'別紙様式2-3（６月以降分）'!AL182)</f>
        <v/>
      </c>
      <c r="AM182" s="1572">
        <f>'別紙様式2-3（６月以降分）'!AM182</f>
        <v>0</v>
      </c>
      <c r="AN182" s="1574"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3"/>
      <c r="V183" s="1461"/>
      <c r="W183" s="1354"/>
      <c r="X183" s="1555"/>
      <c r="Y183" s="1358"/>
      <c r="Z183" s="1555"/>
      <c r="AA183" s="1358"/>
      <c r="AB183" s="1555"/>
      <c r="AC183" s="1358"/>
      <c r="AD183" s="1555"/>
      <c r="AE183" s="1358"/>
      <c r="AF183" s="1358"/>
      <c r="AG183" s="1358"/>
      <c r="AH183" s="1364"/>
      <c r="AI183" s="1485"/>
      <c r="AJ183" s="1557"/>
      <c r="AK183" s="1585"/>
      <c r="AL183" s="1561"/>
      <c r="AM183" s="1573"/>
      <c r="AN183" s="1575"/>
      <c r="AO183" s="1407"/>
      <c r="AP183" s="1567"/>
      <c r="AQ183" s="1407"/>
      <c r="AR183" s="1587"/>
      <c r="AS183" s="1569"/>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2196</v>
      </c>
      <c r="Q184" s="1507" t="str">
        <f>IFERROR(VLOOKUP('別紙様式2-2（４・５月分）'!AR140,【参考】数式用!$AT$5:$AV$22,3,FALSE),"")</f>
        <v/>
      </c>
      <c r="R184" s="1391" t="s">
        <v>2207</v>
      </c>
      <c r="S184" s="1399" t="str">
        <f>IFERROR(VLOOKUP(K182,【参考】数式用!$A$5:$AB$27,MATCH(Q184,【参考】数式用!$B$4:$AB$4,0)+1,0),"")</f>
        <v/>
      </c>
      <c r="T184" s="1462" t="s">
        <v>2285</v>
      </c>
      <c r="U184" s="1570"/>
      <c r="V184" s="1466" t="str">
        <f>IFERROR(VLOOKUP(K182,【参考】数式用!$A$5:$AB$27,MATCH(U184,【参考】数式用!$B$4:$AB$4,0)+1,0),"")</f>
        <v/>
      </c>
      <c r="W184" s="1468" t="s">
        <v>19</v>
      </c>
      <c r="X184" s="1538"/>
      <c r="Y184" s="1410" t="s">
        <v>10</v>
      </c>
      <c r="Z184" s="1538"/>
      <c r="AA184" s="1410" t="s">
        <v>45</v>
      </c>
      <c r="AB184" s="1538"/>
      <c r="AC184" s="1410" t="s">
        <v>10</v>
      </c>
      <c r="AD184" s="1538"/>
      <c r="AE184" s="1410" t="s">
        <v>2188</v>
      </c>
      <c r="AF184" s="1410" t="s">
        <v>24</v>
      </c>
      <c r="AG184" s="1410" t="str">
        <f>IF(X184&gt;=1,(AB184*12+AD184)-(X184*12+Z184)+1,"")</f>
        <v/>
      </c>
      <c r="AH184" s="1412" t="s">
        <v>38</v>
      </c>
      <c r="AI184" s="1414" t="str">
        <f t="shared" ref="AI184" si="163">IFERROR(ROUNDDOWN(ROUND(L182*V184,0)*M182,0)*AG184,"")</f>
        <v/>
      </c>
      <c r="AJ184" s="1578" t="str">
        <f>IFERROR(ROUNDDOWN(ROUND((L182*(V184-AX182)),0)*M182,0)*AG184,"")</f>
        <v/>
      </c>
      <c r="AK184" s="1497" t="str">
        <f>IFERROR(ROUNDDOWN(ROUNDDOWN(ROUND(L182*VLOOKUP(K182,【参考】数式用!$A$5:$AB$27,MATCH("新加算Ⅳ",【参考】数式用!$B$4:$AB$4,0)+1,0),0)*M182,0)*AG184*0.5,0),"")</f>
        <v/>
      </c>
      <c r="AL184" s="1580"/>
      <c r="AM184" s="1588" t="str">
        <f>IFERROR(IF('別紙様式2-2（４・５月分）'!Q142="ベア加算","", IF(OR(U184="新加算Ⅰ",U184="新加算Ⅱ",U184="新加算Ⅲ",U184="新加算Ⅳ"),ROUNDDOWN(ROUND(L182*VLOOKUP(K182,【参考】数式用!$A$5:$I$27,MATCH("ベア加算",【参考】数式用!$B$4:$I$4,0)+1,0),0)*M182,0)*AG184,"")),"")</f>
        <v/>
      </c>
      <c r="AN184" s="1544"/>
      <c r="AO184" s="1536"/>
      <c r="AP184" s="1548"/>
      <c r="AQ184" s="1536"/>
      <c r="AR184" s="1550"/>
      <c r="AS184" s="1552"/>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71"/>
      <c r="V185" s="1467"/>
      <c r="W185" s="1469"/>
      <c r="X185" s="1539"/>
      <c r="Y185" s="1411"/>
      <c r="Z185" s="1539"/>
      <c r="AA185" s="1411"/>
      <c r="AB185" s="1539"/>
      <c r="AC185" s="1411"/>
      <c r="AD185" s="1539"/>
      <c r="AE185" s="1411"/>
      <c r="AF185" s="1411"/>
      <c r="AG185" s="1411"/>
      <c r="AH185" s="1413"/>
      <c r="AI185" s="1415"/>
      <c r="AJ185" s="1579"/>
      <c r="AK185" s="1498"/>
      <c r="AL185" s="1581"/>
      <c r="AM185" s="1589"/>
      <c r="AN185" s="1545"/>
      <c r="AO185" s="1537"/>
      <c r="AP185" s="1549"/>
      <c r="AQ185" s="1537"/>
      <c r="AR185" s="1551"/>
      <c r="AS185" s="1553"/>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2275</v>
      </c>
      <c r="U186" s="1562" t="str">
        <f>IF('別紙様式2-3（６月以降分）'!U186="","",'別紙様式2-3（６月以降分）'!U186)</f>
        <v/>
      </c>
      <c r="V186" s="1460" t="str">
        <f>IFERROR(VLOOKUP(K186,【参考】数式用!$A$5:$AB$27,MATCH(U186,【参考】数式用!$B$4:$AB$4,0)+1,0),"")</f>
        <v/>
      </c>
      <c r="W186" s="1353" t="s">
        <v>19</v>
      </c>
      <c r="X186" s="1554">
        <f>'別紙様式2-3（６月以降分）'!X186</f>
        <v>6</v>
      </c>
      <c r="Y186" s="1357" t="s">
        <v>10</v>
      </c>
      <c r="Z186" s="1554">
        <f>'別紙様式2-3（６月以降分）'!Z186</f>
        <v>6</v>
      </c>
      <c r="AA186" s="1357" t="s">
        <v>45</v>
      </c>
      <c r="AB186" s="1554">
        <f>'別紙様式2-3（６月以降分）'!AB186</f>
        <v>7</v>
      </c>
      <c r="AC186" s="1357" t="s">
        <v>10</v>
      </c>
      <c r="AD186" s="1554">
        <f>'別紙様式2-3（６月以降分）'!AD186</f>
        <v>3</v>
      </c>
      <c r="AE186" s="1357" t="s">
        <v>2188</v>
      </c>
      <c r="AF186" s="1357" t="s">
        <v>24</v>
      </c>
      <c r="AG186" s="1357">
        <f>IF(X186&gt;=1,(AB186*12+AD186)-(X186*12+Z186)+1,"")</f>
        <v>10</v>
      </c>
      <c r="AH186" s="1363" t="s">
        <v>38</v>
      </c>
      <c r="AI186" s="1484" t="str">
        <f>'別紙様式2-3（６月以降分）'!AI186</f>
        <v/>
      </c>
      <c r="AJ186" s="1556" t="str">
        <f>'別紙様式2-3（６月以降分）'!AJ186</f>
        <v/>
      </c>
      <c r="AK186" s="1584">
        <f>'別紙様式2-3（６月以降分）'!AK186</f>
        <v>0</v>
      </c>
      <c r="AL186" s="1560" t="str">
        <f>IF('別紙様式2-3（６月以降分）'!AL186="","",'別紙様式2-3（６月以降分）'!AL186)</f>
        <v/>
      </c>
      <c r="AM186" s="1572">
        <f>'別紙様式2-3（６月以降分）'!AM186</f>
        <v>0</v>
      </c>
      <c r="AN186" s="1574"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3"/>
      <c r="V187" s="1461"/>
      <c r="W187" s="1354"/>
      <c r="X187" s="1555"/>
      <c r="Y187" s="1358"/>
      <c r="Z187" s="1555"/>
      <c r="AA187" s="1358"/>
      <c r="AB187" s="1555"/>
      <c r="AC187" s="1358"/>
      <c r="AD187" s="1555"/>
      <c r="AE187" s="1358"/>
      <c r="AF187" s="1358"/>
      <c r="AG187" s="1358"/>
      <c r="AH187" s="1364"/>
      <c r="AI187" s="1485"/>
      <c r="AJ187" s="1557"/>
      <c r="AK187" s="1585"/>
      <c r="AL187" s="1561"/>
      <c r="AM187" s="1573"/>
      <c r="AN187" s="1575"/>
      <c r="AO187" s="1407"/>
      <c r="AP187" s="1567"/>
      <c r="AQ187" s="1407"/>
      <c r="AR187" s="1587"/>
      <c r="AS187" s="1569"/>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2196</v>
      </c>
      <c r="Q188" s="1507" t="str">
        <f>IFERROR(VLOOKUP('別紙様式2-2（４・５月分）'!AR143,【参考】数式用!$AT$5:$AV$22,3,FALSE),"")</f>
        <v/>
      </c>
      <c r="R188" s="1391" t="s">
        <v>2207</v>
      </c>
      <c r="S188" s="1397" t="str">
        <f>IFERROR(VLOOKUP(K186,【参考】数式用!$A$5:$AB$27,MATCH(Q188,【参考】数式用!$B$4:$AB$4,0)+1,0),"")</f>
        <v/>
      </c>
      <c r="T188" s="1462" t="s">
        <v>2285</v>
      </c>
      <c r="U188" s="1570"/>
      <c r="V188" s="1466" t="str">
        <f>IFERROR(VLOOKUP(K186,【参考】数式用!$A$5:$AB$27,MATCH(U188,【参考】数式用!$B$4:$AB$4,0)+1,0),"")</f>
        <v/>
      </c>
      <c r="W188" s="1468" t="s">
        <v>19</v>
      </c>
      <c r="X188" s="1538"/>
      <c r="Y188" s="1410" t="s">
        <v>10</v>
      </c>
      <c r="Z188" s="1538"/>
      <c r="AA188" s="1410" t="s">
        <v>45</v>
      </c>
      <c r="AB188" s="1538"/>
      <c r="AC188" s="1410" t="s">
        <v>10</v>
      </c>
      <c r="AD188" s="1538"/>
      <c r="AE188" s="1410" t="s">
        <v>2188</v>
      </c>
      <c r="AF188" s="1410" t="s">
        <v>24</v>
      </c>
      <c r="AG188" s="1410" t="str">
        <f>IF(X188&gt;=1,(AB188*12+AD188)-(X188*12+Z188)+1,"")</f>
        <v/>
      </c>
      <c r="AH188" s="1412" t="s">
        <v>38</v>
      </c>
      <c r="AI188" s="1414" t="str">
        <f t="shared" ref="AI188" si="167">IFERROR(ROUNDDOWN(ROUND(L186*V188,0)*M186,0)*AG188,"")</f>
        <v/>
      </c>
      <c r="AJ188" s="1578" t="str">
        <f>IFERROR(ROUNDDOWN(ROUND((L186*(V188-AX186)),0)*M186,0)*AG188,"")</f>
        <v/>
      </c>
      <c r="AK188" s="1497" t="str">
        <f>IFERROR(ROUNDDOWN(ROUNDDOWN(ROUND(L186*VLOOKUP(K186,【参考】数式用!$A$5:$AB$27,MATCH("新加算Ⅳ",【参考】数式用!$B$4:$AB$4,0)+1,0),0)*M186,0)*AG188*0.5,0),"")</f>
        <v/>
      </c>
      <c r="AL188" s="1580"/>
      <c r="AM188" s="1588" t="str">
        <f>IFERROR(IF('別紙様式2-2（４・５月分）'!Q145="ベア加算","", IF(OR(U188="新加算Ⅰ",U188="新加算Ⅱ",U188="新加算Ⅲ",U188="新加算Ⅳ"),ROUNDDOWN(ROUND(L186*VLOOKUP(K186,【参考】数式用!$A$5:$I$27,MATCH("ベア加算",【参考】数式用!$B$4:$I$4,0)+1,0),0)*M186,0)*AG188,"")),"")</f>
        <v/>
      </c>
      <c r="AN188" s="1544"/>
      <c r="AO188" s="1536"/>
      <c r="AP188" s="1548"/>
      <c r="AQ188" s="1536"/>
      <c r="AR188" s="1550"/>
      <c r="AS188" s="1552"/>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71"/>
      <c r="V189" s="1467"/>
      <c r="W189" s="1469"/>
      <c r="X189" s="1539"/>
      <c r="Y189" s="1411"/>
      <c r="Z189" s="1539"/>
      <c r="AA189" s="1411"/>
      <c r="AB189" s="1539"/>
      <c r="AC189" s="1411"/>
      <c r="AD189" s="1539"/>
      <c r="AE189" s="1411"/>
      <c r="AF189" s="1411"/>
      <c r="AG189" s="1411"/>
      <c r="AH189" s="1413"/>
      <c r="AI189" s="1415"/>
      <c r="AJ189" s="1579"/>
      <c r="AK189" s="1498"/>
      <c r="AL189" s="1581"/>
      <c r="AM189" s="1589"/>
      <c r="AN189" s="1545"/>
      <c r="AO189" s="1537"/>
      <c r="AP189" s="1549"/>
      <c r="AQ189" s="1537"/>
      <c r="AR189" s="1551"/>
      <c r="AS189" s="1553"/>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2275</v>
      </c>
      <c r="U190" s="1562" t="str">
        <f>IF('別紙様式2-3（６月以降分）'!U190="","",'別紙様式2-3（６月以降分）'!U190)</f>
        <v/>
      </c>
      <c r="V190" s="1460" t="str">
        <f>IFERROR(VLOOKUP(K190,【参考】数式用!$A$5:$AB$27,MATCH(U190,【参考】数式用!$B$4:$AB$4,0)+1,0),"")</f>
        <v/>
      </c>
      <c r="W190" s="1353" t="s">
        <v>19</v>
      </c>
      <c r="X190" s="1554">
        <f>'別紙様式2-3（６月以降分）'!X190</f>
        <v>6</v>
      </c>
      <c r="Y190" s="1357" t="s">
        <v>10</v>
      </c>
      <c r="Z190" s="1554">
        <f>'別紙様式2-3（６月以降分）'!Z190</f>
        <v>6</v>
      </c>
      <c r="AA190" s="1357" t="s">
        <v>45</v>
      </c>
      <c r="AB190" s="1554">
        <f>'別紙様式2-3（６月以降分）'!AB190</f>
        <v>7</v>
      </c>
      <c r="AC190" s="1357" t="s">
        <v>10</v>
      </c>
      <c r="AD190" s="1554">
        <f>'別紙様式2-3（６月以降分）'!AD190</f>
        <v>3</v>
      </c>
      <c r="AE190" s="1357" t="s">
        <v>2188</v>
      </c>
      <c r="AF190" s="1357" t="s">
        <v>24</v>
      </c>
      <c r="AG190" s="1357">
        <f>IF(X190&gt;=1,(AB190*12+AD190)-(X190*12+Z190)+1,"")</f>
        <v>10</v>
      </c>
      <c r="AH190" s="1363" t="s">
        <v>38</v>
      </c>
      <c r="AI190" s="1484" t="str">
        <f>'別紙様式2-3（６月以降分）'!AI190</f>
        <v/>
      </c>
      <c r="AJ190" s="1556" t="str">
        <f>'別紙様式2-3（６月以降分）'!AJ190</f>
        <v/>
      </c>
      <c r="AK190" s="1584">
        <f>'別紙様式2-3（６月以降分）'!AK190</f>
        <v>0</v>
      </c>
      <c r="AL190" s="1560" t="str">
        <f>IF('別紙様式2-3（６月以降分）'!AL190="","",'別紙様式2-3（６月以降分）'!AL190)</f>
        <v/>
      </c>
      <c r="AM190" s="1572">
        <f>'別紙様式2-3（６月以降分）'!AM190</f>
        <v>0</v>
      </c>
      <c r="AN190" s="1574"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3"/>
      <c r="V191" s="1461"/>
      <c r="W191" s="1354"/>
      <c r="X191" s="1555"/>
      <c r="Y191" s="1358"/>
      <c r="Z191" s="1555"/>
      <c r="AA191" s="1358"/>
      <c r="AB191" s="1555"/>
      <c r="AC191" s="1358"/>
      <c r="AD191" s="1555"/>
      <c r="AE191" s="1358"/>
      <c r="AF191" s="1358"/>
      <c r="AG191" s="1358"/>
      <c r="AH191" s="1364"/>
      <c r="AI191" s="1485"/>
      <c r="AJ191" s="1557"/>
      <c r="AK191" s="1585"/>
      <c r="AL191" s="1561"/>
      <c r="AM191" s="1573"/>
      <c r="AN191" s="1575"/>
      <c r="AO191" s="1407"/>
      <c r="AP191" s="1567"/>
      <c r="AQ191" s="1407"/>
      <c r="AR191" s="1587"/>
      <c r="AS191" s="1569"/>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2196</v>
      </c>
      <c r="Q192" s="1507" t="str">
        <f>IFERROR(VLOOKUP('別紙様式2-2（４・５月分）'!AR146,【参考】数式用!$AT$5:$AV$22,3,FALSE),"")</f>
        <v/>
      </c>
      <c r="R192" s="1391" t="s">
        <v>2207</v>
      </c>
      <c r="S192" s="1399" t="str">
        <f>IFERROR(VLOOKUP(K190,【参考】数式用!$A$5:$AB$27,MATCH(Q192,【参考】数式用!$B$4:$AB$4,0)+1,0),"")</f>
        <v/>
      </c>
      <c r="T192" s="1462" t="s">
        <v>2285</v>
      </c>
      <c r="U192" s="1570"/>
      <c r="V192" s="1466" t="str">
        <f>IFERROR(VLOOKUP(K190,【参考】数式用!$A$5:$AB$27,MATCH(U192,【参考】数式用!$B$4:$AB$4,0)+1,0),"")</f>
        <v/>
      </c>
      <c r="W192" s="1468" t="s">
        <v>19</v>
      </c>
      <c r="X192" s="1538"/>
      <c r="Y192" s="1410" t="s">
        <v>10</v>
      </c>
      <c r="Z192" s="1538"/>
      <c r="AA192" s="1410" t="s">
        <v>45</v>
      </c>
      <c r="AB192" s="1538"/>
      <c r="AC192" s="1410" t="s">
        <v>10</v>
      </c>
      <c r="AD192" s="1538"/>
      <c r="AE192" s="1410" t="s">
        <v>2188</v>
      </c>
      <c r="AF192" s="1410" t="s">
        <v>24</v>
      </c>
      <c r="AG192" s="1410" t="str">
        <f>IF(X192&gt;=1,(AB192*12+AD192)-(X192*12+Z192)+1,"")</f>
        <v/>
      </c>
      <c r="AH192" s="1412" t="s">
        <v>38</v>
      </c>
      <c r="AI192" s="1414" t="str">
        <f t="shared" ref="AI192" si="171">IFERROR(ROUNDDOWN(ROUND(L190*V192,0)*M190,0)*AG192,"")</f>
        <v/>
      </c>
      <c r="AJ192" s="1578" t="str">
        <f>IFERROR(ROUNDDOWN(ROUND((L190*(V192-AX190)),0)*M190,0)*AG192,"")</f>
        <v/>
      </c>
      <c r="AK192" s="1497" t="str">
        <f>IFERROR(ROUNDDOWN(ROUNDDOWN(ROUND(L190*VLOOKUP(K190,【参考】数式用!$A$5:$AB$27,MATCH("新加算Ⅳ",【参考】数式用!$B$4:$AB$4,0)+1,0),0)*M190,0)*AG192*0.5,0),"")</f>
        <v/>
      </c>
      <c r="AL192" s="1580"/>
      <c r="AM192" s="1588" t="str">
        <f>IFERROR(IF('別紙様式2-2（４・５月分）'!Q148="ベア加算","", IF(OR(U192="新加算Ⅰ",U192="新加算Ⅱ",U192="新加算Ⅲ",U192="新加算Ⅳ"),ROUNDDOWN(ROUND(L190*VLOOKUP(K190,【参考】数式用!$A$5:$I$27,MATCH("ベア加算",【参考】数式用!$B$4:$I$4,0)+1,0),0)*M190,0)*AG192,"")),"")</f>
        <v/>
      </c>
      <c r="AN192" s="1544"/>
      <c r="AO192" s="1536"/>
      <c r="AP192" s="1548"/>
      <c r="AQ192" s="1536"/>
      <c r="AR192" s="1550"/>
      <c r="AS192" s="1552"/>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71"/>
      <c r="V193" s="1467"/>
      <c r="W193" s="1469"/>
      <c r="X193" s="1539"/>
      <c r="Y193" s="1411"/>
      <c r="Z193" s="1539"/>
      <c r="AA193" s="1411"/>
      <c r="AB193" s="1539"/>
      <c r="AC193" s="1411"/>
      <c r="AD193" s="1539"/>
      <c r="AE193" s="1411"/>
      <c r="AF193" s="1411"/>
      <c r="AG193" s="1411"/>
      <c r="AH193" s="1413"/>
      <c r="AI193" s="1415"/>
      <c r="AJ193" s="1579"/>
      <c r="AK193" s="1498"/>
      <c r="AL193" s="1581"/>
      <c r="AM193" s="1589"/>
      <c r="AN193" s="1545"/>
      <c r="AO193" s="1537"/>
      <c r="AP193" s="1549"/>
      <c r="AQ193" s="1537"/>
      <c r="AR193" s="1551"/>
      <c r="AS193" s="1553"/>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2275</v>
      </c>
      <c r="U194" s="1562" t="str">
        <f>IF('別紙様式2-3（６月以降分）'!U194="","",'別紙様式2-3（６月以降分）'!U194)</f>
        <v/>
      </c>
      <c r="V194" s="1460" t="str">
        <f>IFERROR(VLOOKUP(K194,【参考】数式用!$A$5:$AB$27,MATCH(U194,【参考】数式用!$B$4:$AB$4,0)+1,0),"")</f>
        <v/>
      </c>
      <c r="W194" s="1353" t="s">
        <v>19</v>
      </c>
      <c r="X194" s="1554">
        <f>'別紙様式2-3（６月以降分）'!X194</f>
        <v>6</v>
      </c>
      <c r="Y194" s="1357" t="s">
        <v>10</v>
      </c>
      <c r="Z194" s="1554">
        <f>'別紙様式2-3（６月以降分）'!Z194</f>
        <v>6</v>
      </c>
      <c r="AA194" s="1357" t="s">
        <v>45</v>
      </c>
      <c r="AB194" s="1554">
        <f>'別紙様式2-3（６月以降分）'!AB194</f>
        <v>7</v>
      </c>
      <c r="AC194" s="1357" t="s">
        <v>10</v>
      </c>
      <c r="AD194" s="1554">
        <f>'別紙様式2-3（６月以降分）'!AD194</f>
        <v>3</v>
      </c>
      <c r="AE194" s="1357" t="s">
        <v>2188</v>
      </c>
      <c r="AF194" s="1357" t="s">
        <v>24</v>
      </c>
      <c r="AG194" s="1357">
        <f>IF(X194&gt;=1,(AB194*12+AD194)-(X194*12+Z194)+1,"")</f>
        <v>10</v>
      </c>
      <c r="AH194" s="1363" t="s">
        <v>38</v>
      </c>
      <c r="AI194" s="1484" t="str">
        <f>'別紙様式2-3（６月以降分）'!AI194</f>
        <v/>
      </c>
      <c r="AJ194" s="1556" t="str">
        <f>'別紙様式2-3（６月以降分）'!AJ194</f>
        <v/>
      </c>
      <c r="AK194" s="1584">
        <f>'別紙様式2-3（６月以降分）'!AK194</f>
        <v>0</v>
      </c>
      <c r="AL194" s="1560" t="str">
        <f>IF('別紙様式2-3（６月以降分）'!AL194="","",'別紙様式2-3（６月以降分）'!AL194)</f>
        <v/>
      </c>
      <c r="AM194" s="1572">
        <f>'別紙様式2-3（６月以降分）'!AM194</f>
        <v>0</v>
      </c>
      <c r="AN194" s="1574"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3"/>
      <c r="V195" s="1461"/>
      <c r="W195" s="1354"/>
      <c r="X195" s="1555"/>
      <c r="Y195" s="1358"/>
      <c r="Z195" s="1555"/>
      <c r="AA195" s="1358"/>
      <c r="AB195" s="1555"/>
      <c r="AC195" s="1358"/>
      <c r="AD195" s="1555"/>
      <c r="AE195" s="1358"/>
      <c r="AF195" s="1358"/>
      <c r="AG195" s="1358"/>
      <c r="AH195" s="1364"/>
      <c r="AI195" s="1485"/>
      <c r="AJ195" s="1557"/>
      <c r="AK195" s="1585"/>
      <c r="AL195" s="1561"/>
      <c r="AM195" s="1573"/>
      <c r="AN195" s="1575"/>
      <c r="AO195" s="1407"/>
      <c r="AP195" s="1567"/>
      <c r="AQ195" s="1407"/>
      <c r="AR195" s="1587"/>
      <c r="AS195" s="1569"/>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2196</v>
      </c>
      <c r="Q196" s="1507" t="str">
        <f>IFERROR(VLOOKUP('別紙様式2-2（４・５月分）'!AR149,【参考】数式用!$AT$5:$AV$22,3,FALSE),"")</f>
        <v/>
      </c>
      <c r="R196" s="1391" t="s">
        <v>2207</v>
      </c>
      <c r="S196" s="1397" t="str">
        <f>IFERROR(VLOOKUP(K194,【参考】数式用!$A$5:$AB$27,MATCH(Q196,【参考】数式用!$B$4:$AB$4,0)+1,0),"")</f>
        <v/>
      </c>
      <c r="T196" s="1462" t="s">
        <v>2285</v>
      </c>
      <c r="U196" s="1570"/>
      <c r="V196" s="1466" t="str">
        <f>IFERROR(VLOOKUP(K194,【参考】数式用!$A$5:$AB$27,MATCH(U196,【参考】数式用!$B$4:$AB$4,0)+1,0),"")</f>
        <v/>
      </c>
      <c r="W196" s="1468" t="s">
        <v>19</v>
      </c>
      <c r="X196" s="1538"/>
      <c r="Y196" s="1410" t="s">
        <v>10</v>
      </c>
      <c r="Z196" s="1538"/>
      <c r="AA196" s="1410" t="s">
        <v>45</v>
      </c>
      <c r="AB196" s="1538"/>
      <c r="AC196" s="1410" t="s">
        <v>10</v>
      </c>
      <c r="AD196" s="1538"/>
      <c r="AE196" s="1410" t="s">
        <v>2188</v>
      </c>
      <c r="AF196" s="1410" t="s">
        <v>24</v>
      </c>
      <c r="AG196" s="1410" t="str">
        <f>IF(X196&gt;=1,(AB196*12+AD196)-(X196*12+Z196)+1,"")</f>
        <v/>
      </c>
      <c r="AH196" s="1412" t="s">
        <v>38</v>
      </c>
      <c r="AI196" s="1414" t="str">
        <f t="shared" ref="AI196" si="175">IFERROR(ROUNDDOWN(ROUND(L194*V196,0)*M194,0)*AG196,"")</f>
        <v/>
      </c>
      <c r="AJ196" s="1578" t="str">
        <f>IFERROR(ROUNDDOWN(ROUND((L194*(V196-AX194)),0)*M194,0)*AG196,"")</f>
        <v/>
      </c>
      <c r="AK196" s="1497" t="str">
        <f>IFERROR(ROUNDDOWN(ROUNDDOWN(ROUND(L194*VLOOKUP(K194,【参考】数式用!$A$5:$AB$27,MATCH("新加算Ⅳ",【参考】数式用!$B$4:$AB$4,0)+1,0),0)*M194,0)*AG196*0.5,0),"")</f>
        <v/>
      </c>
      <c r="AL196" s="1580"/>
      <c r="AM196" s="1588" t="str">
        <f>IFERROR(IF('別紙様式2-2（４・５月分）'!Q151="ベア加算","", IF(OR(U196="新加算Ⅰ",U196="新加算Ⅱ",U196="新加算Ⅲ",U196="新加算Ⅳ"),ROUNDDOWN(ROUND(L194*VLOOKUP(K194,【参考】数式用!$A$5:$I$27,MATCH("ベア加算",【参考】数式用!$B$4:$I$4,0)+1,0),0)*M194,0)*AG196,"")),"")</f>
        <v/>
      </c>
      <c r="AN196" s="1544"/>
      <c r="AO196" s="1536"/>
      <c r="AP196" s="1548"/>
      <c r="AQ196" s="1536"/>
      <c r="AR196" s="1550"/>
      <c r="AS196" s="1552"/>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71"/>
      <c r="V197" s="1467"/>
      <c r="W197" s="1469"/>
      <c r="X197" s="1539"/>
      <c r="Y197" s="1411"/>
      <c r="Z197" s="1539"/>
      <c r="AA197" s="1411"/>
      <c r="AB197" s="1539"/>
      <c r="AC197" s="1411"/>
      <c r="AD197" s="1539"/>
      <c r="AE197" s="1411"/>
      <c r="AF197" s="1411"/>
      <c r="AG197" s="1411"/>
      <c r="AH197" s="1413"/>
      <c r="AI197" s="1415"/>
      <c r="AJ197" s="1579"/>
      <c r="AK197" s="1498"/>
      <c r="AL197" s="1581"/>
      <c r="AM197" s="1589"/>
      <c r="AN197" s="1545"/>
      <c r="AO197" s="1537"/>
      <c r="AP197" s="1549"/>
      <c r="AQ197" s="1537"/>
      <c r="AR197" s="1551"/>
      <c r="AS197" s="1553"/>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2275</v>
      </c>
      <c r="U198" s="1562" t="str">
        <f>IF('別紙様式2-3（６月以降分）'!U198="","",'別紙様式2-3（６月以降分）'!U198)</f>
        <v/>
      </c>
      <c r="V198" s="1460" t="str">
        <f>IFERROR(VLOOKUP(K198,【参考】数式用!$A$5:$AB$27,MATCH(U198,【参考】数式用!$B$4:$AB$4,0)+1,0),"")</f>
        <v/>
      </c>
      <c r="W198" s="1353" t="s">
        <v>19</v>
      </c>
      <c r="X198" s="1554">
        <f>'別紙様式2-3（６月以降分）'!X198</f>
        <v>6</v>
      </c>
      <c r="Y198" s="1357" t="s">
        <v>10</v>
      </c>
      <c r="Z198" s="1554">
        <f>'別紙様式2-3（６月以降分）'!Z198</f>
        <v>6</v>
      </c>
      <c r="AA198" s="1357" t="s">
        <v>45</v>
      </c>
      <c r="AB198" s="1554">
        <f>'別紙様式2-3（６月以降分）'!AB198</f>
        <v>7</v>
      </c>
      <c r="AC198" s="1357" t="s">
        <v>10</v>
      </c>
      <c r="AD198" s="1554">
        <f>'別紙様式2-3（６月以降分）'!AD198</f>
        <v>3</v>
      </c>
      <c r="AE198" s="1357" t="s">
        <v>2188</v>
      </c>
      <c r="AF198" s="1357" t="s">
        <v>24</v>
      </c>
      <c r="AG198" s="1357">
        <f>IF(X198&gt;=1,(AB198*12+AD198)-(X198*12+Z198)+1,"")</f>
        <v>10</v>
      </c>
      <c r="AH198" s="1363" t="s">
        <v>38</v>
      </c>
      <c r="AI198" s="1484" t="str">
        <f>'別紙様式2-3（６月以降分）'!AI198</f>
        <v/>
      </c>
      <c r="AJ198" s="1556" t="str">
        <f>'別紙様式2-3（６月以降分）'!AJ198</f>
        <v/>
      </c>
      <c r="AK198" s="1584">
        <f>'別紙様式2-3（６月以降分）'!AK198</f>
        <v>0</v>
      </c>
      <c r="AL198" s="1560" t="str">
        <f>IF('別紙様式2-3（６月以降分）'!AL198="","",'別紙様式2-3（６月以降分）'!AL198)</f>
        <v/>
      </c>
      <c r="AM198" s="1572">
        <f>'別紙様式2-3（６月以降分）'!AM198</f>
        <v>0</v>
      </c>
      <c r="AN198" s="1574"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3"/>
      <c r="V199" s="1461"/>
      <c r="W199" s="1354"/>
      <c r="X199" s="1555"/>
      <c r="Y199" s="1358"/>
      <c r="Z199" s="1555"/>
      <c r="AA199" s="1358"/>
      <c r="AB199" s="1555"/>
      <c r="AC199" s="1358"/>
      <c r="AD199" s="1555"/>
      <c r="AE199" s="1358"/>
      <c r="AF199" s="1358"/>
      <c r="AG199" s="1358"/>
      <c r="AH199" s="1364"/>
      <c r="AI199" s="1485"/>
      <c r="AJ199" s="1557"/>
      <c r="AK199" s="1585"/>
      <c r="AL199" s="1561"/>
      <c r="AM199" s="1573"/>
      <c r="AN199" s="1575"/>
      <c r="AO199" s="1407"/>
      <c r="AP199" s="1567"/>
      <c r="AQ199" s="1407"/>
      <c r="AR199" s="1587"/>
      <c r="AS199" s="1569"/>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2196</v>
      </c>
      <c r="Q200" s="1507" t="str">
        <f>IFERROR(VLOOKUP('別紙様式2-2（４・５月分）'!AR152,【参考】数式用!$AT$5:$AV$22,3,FALSE),"")</f>
        <v/>
      </c>
      <c r="R200" s="1391" t="s">
        <v>2207</v>
      </c>
      <c r="S200" s="1399" t="str">
        <f>IFERROR(VLOOKUP(K198,【参考】数式用!$A$5:$AB$27,MATCH(Q200,【参考】数式用!$B$4:$AB$4,0)+1,0),"")</f>
        <v/>
      </c>
      <c r="T200" s="1462" t="s">
        <v>2285</v>
      </c>
      <c r="U200" s="1570"/>
      <c r="V200" s="1466" t="str">
        <f>IFERROR(VLOOKUP(K198,【参考】数式用!$A$5:$AB$27,MATCH(U200,【参考】数式用!$B$4:$AB$4,0)+1,0),"")</f>
        <v/>
      </c>
      <c r="W200" s="1468" t="s">
        <v>19</v>
      </c>
      <c r="X200" s="1538"/>
      <c r="Y200" s="1410" t="s">
        <v>10</v>
      </c>
      <c r="Z200" s="1538"/>
      <c r="AA200" s="1410" t="s">
        <v>45</v>
      </c>
      <c r="AB200" s="1538"/>
      <c r="AC200" s="1410" t="s">
        <v>10</v>
      </c>
      <c r="AD200" s="1538"/>
      <c r="AE200" s="1410" t="s">
        <v>2188</v>
      </c>
      <c r="AF200" s="1410" t="s">
        <v>24</v>
      </c>
      <c r="AG200" s="1410" t="str">
        <f>IF(X200&gt;=1,(AB200*12+AD200)-(X200*12+Z200)+1,"")</f>
        <v/>
      </c>
      <c r="AH200" s="1412" t="s">
        <v>38</v>
      </c>
      <c r="AI200" s="1414" t="str">
        <f t="shared" ref="AI200" si="179">IFERROR(ROUNDDOWN(ROUND(L198*V200,0)*M198,0)*AG200,"")</f>
        <v/>
      </c>
      <c r="AJ200" s="1578" t="str">
        <f>IFERROR(ROUNDDOWN(ROUND((L198*(V200-AX198)),0)*M198,0)*AG200,"")</f>
        <v/>
      </c>
      <c r="AK200" s="1497" t="str">
        <f>IFERROR(ROUNDDOWN(ROUNDDOWN(ROUND(L198*VLOOKUP(K198,【参考】数式用!$A$5:$AB$27,MATCH("新加算Ⅳ",【参考】数式用!$B$4:$AB$4,0)+1,0),0)*M198,0)*AG200*0.5,0),"")</f>
        <v/>
      </c>
      <c r="AL200" s="1580"/>
      <c r="AM200" s="1588" t="str">
        <f>IFERROR(IF('別紙様式2-2（４・５月分）'!Q154="ベア加算","", IF(OR(U200="新加算Ⅰ",U200="新加算Ⅱ",U200="新加算Ⅲ",U200="新加算Ⅳ"),ROUNDDOWN(ROUND(L198*VLOOKUP(K198,【参考】数式用!$A$5:$I$27,MATCH("ベア加算",【参考】数式用!$B$4:$I$4,0)+1,0),0)*M198,0)*AG200,"")),"")</f>
        <v/>
      </c>
      <c r="AN200" s="1544"/>
      <c r="AO200" s="1536"/>
      <c r="AP200" s="1548"/>
      <c r="AQ200" s="1536"/>
      <c r="AR200" s="1550"/>
      <c r="AS200" s="1552"/>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71"/>
      <c r="V201" s="1467"/>
      <c r="W201" s="1469"/>
      <c r="X201" s="1539"/>
      <c r="Y201" s="1411"/>
      <c r="Z201" s="1539"/>
      <c r="AA201" s="1411"/>
      <c r="AB201" s="1539"/>
      <c r="AC201" s="1411"/>
      <c r="AD201" s="1539"/>
      <c r="AE201" s="1411"/>
      <c r="AF201" s="1411"/>
      <c r="AG201" s="1411"/>
      <c r="AH201" s="1413"/>
      <c r="AI201" s="1415"/>
      <c r="AJ201" s="1579"/>
      <c r="AK201" s="1498"/>
      <c r="AL201" s="1581"/>
      <c r="AM201" s="1589"/>
      <c r="AN201" s="1545"/>
      <c r="AO201" s="1537"/>
      <c r="AP201" s="1549"/>
      <c r="AQ201" s="1537"/>
      <c r="AR201" s="1551"/>
      <c r="AS201" s="1553"/>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2275</v>
      </c>
      <c r="U202" s="1562" t="str">
        <f>IF('別紙様式2-3（６月以降分）'!U202="","",'別紙様式2-3（６月以降分）'!U202)</f>
        <v/>
      </c>
      <c r="V202" s="1460" t="str">
        <f>IFERROR(VLOOKUP(K202,【参考】数式用!$A$5:$AB$27,MATCH(U202,【参考】数式用!$B$4:$AB$4,0)+1,0),"")</f>
        <v/>
      </c>
      <c r="W202" s="1353" t="s">
        <v>19</v>
      </c>
      <c r="X202" s="1554">
        <f>'別紙様式2-3（６月以降分）'!X202</f>
        <v>6</v>
      </c>
      <c r="Y202" s="1357" t="s">
        <v>10</v>
      </c>
      <c r="Z202" s="1554">
        <f>'別紙様式2-3（６月以降分）'!Z202</f>
        <v>6</v>
      </c>
      <c r="AA202" s="1357" t="s">
        <v>45</v>
      </c>
      <c r="AB202" s="1554">
        <f>'別紙様式2-3（６月以降分）'!AB202</f>
        <v>7</v>
      </c>
      <c r="AC202" s="1357" t="s">
        <v>10</v>
      </c>
      <c r="AD202" s="1554">
        <f>'別紙様式2-3（６月以降分）'!AD202</f>
        <v>3</v>
      </c>
      <c r="AE202" s="1357" t="s">
        <v>2188</v>
      </c>
      <c r="AF202" s="1357" t="s">
        <v>24</v>
      </c>
      <c r="AG202" s="1357">
        <f>IF(X202&gt;=1,(AB202*12+AD202)-(X202*12+Z202)+1,"")</f>
        <v>10</v>
      </c>
      <c r="AH202" s="1363" t="s">
        <v>38</v>
      </c>
      <c r="AI202" s="1484" t="str">
        <f>'別紙様式2-3（６月以降分）'!AI202</f>
        <v/>
      </c>
      <c r="AJ202" s="1556" t="str">
        <f>'別紙様式2-3（６月以降分）'!AJ202</f>
        <v/>
      </c>
      <c r="AK202" s="1584">
        <f>'別紙様式2-3（６月以降分）'!AK202</f>
        <v>0</v>
      </c>
      <c r="AL202" s="1560" t="str">
        <f>IF('別紙様式2-3（６月以降分）'!AL202="","",'別紙様式2-3（６月以降分）'!AL202)</f>
        <v/>
      </c>
      <c r="AM202" s="1572">
        <f>'別紙様式2-3（６月以降分）'!AM202</f>
        <v>0</v>
      </c>
      <c r="AN202" s="1574"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3"/>
      <c r="V203" s="1461"/>
      <c r="W203" s="1354"/>
      <c r="X203" s="1555"/>
      <c r="Y203" s="1358"/>
      <c r="Z203" s="1555"/>
      <c r="AA203" s="1358"/>
      <c r="AB203" s="1555"/>
      <c r="AC203" s="1358"/>
      <c r="AD203" s="1555"/>
      <c r="AE203" s="1358"/>
      <c r="AF203" s="1358"/>
      <c r="AG203" s="1358"/>
      <c r="AH203" s="1364"/>
      <c r="AI203" s="1485"/>
      <c r="AJ203" s="1557"/>
      <c r="AK203" s="1585"/>
      <c r="AL203" s="1561"/>
      <c r="AM203" s="1573"/>
      <c r="AN203" s="1575"/>
      <c r="AO203" s="1407"/>
      <c r="AP203" s="1567"/>
      <c r="AQ203" s="1407"/>
      <c r="AR203" s="1587"/>
      <c r="AS203" s="1569"/>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2196</v>
      </c>
      <c r="Q204" s="1507" t="str">
        <f>IFERROR(VLOOKUP('別紙様式2-2（４・５月分）'!AR155,【参考】数式用!$AT$5:$AV$22,3,FALSE),"")</f>
        <v/>
      </c>
      <c r="R204" s="1391" t="s">
        <v>2207</v>
      </c>
      <c r="S204" s="1397" t="str">
        <f>IFERROR(VLOOKUP(K202,【参考】数式用!$A$5:$AB$27,MATCH(Q204,【参考】数式用!$B$4:$AB$4,0)+1,0),"")</f>
        <v/>
      </c>
      <c r="T204" s="1462" t="s">
        <v>2285</v>
      </c>
      <c r="U204" s="1570"/>
      <c r="V204" s="1466" t="str">
        <f>IFERROR(VLOOKUP(K202,【参考】数式用!$A$5:$AB$27,MATCH(U204,【参考】数式用!$B$4:$AB$4,0)+1,0),"")</f>
        <v/>
      </c>
      <c r="W204" s="1468" t="s">
        <v>19</v>
      </c>
      <c r="X204" s="1538"/>
      <c r="Y204" s="1410" t="s">
        <v>10</v>
      </c>
      <c r="Z204" s="1538"/>
      <c r="AA204" s="1410" t="s">
        <v>45</v>
      </c>
      <c r="AB204" s="1538"/>
      <c r="AC204" s="1410" t="s">
        <v>10</v>
      </c>
      <c r="AD204" s="1538"/>
      <c r="AE204" s="1410" t="s">
        <v>2188</v>
      </c>
      <c r="AF204" s="1410" t="s">
        <v>24</v>
      </c>
      <c r="AG204" s="1410" t="str">
        <f>IF(X204&gt;=1,(AB204*12+AD204)-(X204*12+Z204)+1,"")</f>
        <v/>
      </c>
      <c r="AH204" s="1412" t="s">
        <v>38</v>
      </c>
      <c r="AI204" s="1414" t="str">
        <f t="shared" ref="AI204" si="183">IFERROR(ROUNDDOWN(ROUND(L202*V204,0)*M202,0)*AG204,"")</f>
        <v/>
      </c>
      <c r="AJ204" s="1578" t="str">
        <f>IFERROR(ROUNDDOWN(ROUND((L202*(V204-AX202)),0)*M202,0)*AG204,"")</f>
        <v/>
      </c>
      <c r="AK204" s="1497" t="str">
        <f>IFERROR(ROUNDDOWN(ROUNDDOWN(ROUND(L202*VLOOKUP(K202,【参考】数式用!$A$5:$AB$27,MATCH("新加算Ⅳ",【参考】数式用!$B$4:$AB$4,0)+1,0),0)*M202,0)*AG204*0.5,0),"")</f>
        <v/>
      </c>
      <c r="AL204" s="1580"/>
      <c r="AM204" s="1588" t="str">
        <f>IFERROR(IF('別紙様式2-2（４・５月分）'!Q157="ベア加算","", IF(OR(U204="新加算Ⅰ",U204="新加算Ⅱ",U204="新加算Ⅲ",U204="新加算Ⅳ"),ROUNDDOWN(ROUND(L202*VLOOKUP(K202,【参考】数式用!$A$5:$I$27,MATCH("ベア加算",【参考】数式用!$B$4:$I$4,0)+1,0),0)*M202,0)*AG204,"")),"")</f>
        <v/>
      </c>
      <c r="AN204" s="1544"/>
      <c r="AO204" s="1536"/>
      <c r="AP204" s="1548"/>
      <c r="AQ204" s="1536"/>
      <c r="AR204" s="1550"/>
      <c r="AS204" s="1552"/>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71"/>
      <c r="V205" s="1467"/>
      <c r="W205" s="1469"/>
      <c r="X205" s="1539"/>
      <c r="Y205" s="1411"/>
      <c r="Z205" s="1539"/>
      <c r="AA205" s="1411"/>
      <c r="AB205" s="1539"/>
      <c r="AC205" s="1411"/>
      <c r="AD205" s="1539"/>
      <c r="AE205" s="1411"/>
      <c r="AF205" s="1411"/>
      <c r="AG205" s="1411"/>
      <c r="AH205" s="1413"/>
      <c r="AI205" s="1415"/>
      <c r="AJ205" s="1579"/>
      <c r="AK205" s="1498"/>
      <c r="AL205" s="1581"/>
      <c r="AM205" s="1589"/>
      <c r="AN205" s="1545"/>
      <c r="AO205" s="1537"/>
      <c r="AP205" s="1549"/>
      <c r="AQ205" s="1537"/>
      <c r="AR205" s="1551"/>
      <c r="AS205" s="1553"/>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2275</v>
      </c>
      <c r="U206" s="1562" t="str">
        <f>IF('別紙様式2-3（６月以降分）'!U206="","",'別紙様式2-3（６月以降分）'!U206)</f>
        <v/>
      </c>
      <c r="V206" s="1460" t="str">
        <f>IFERROR(VLOOKUP(K206,【参考】数式用!$A$5:$AB$27,MATCH(U206,【参考】数式用!$B$4:$AB$4,0)+1,0),"")</f>
        <v/>
      </c>
      <c r="W206" s="1353" t="s">
        <v>19</v>
      </c>
      <c r="X206" s="1554">
        <f>'別紙様式2-3（６月以降分）'!X206</f>
        <v>6</v>
      </c>
      <c r="Y206" s="1357" t="s">
        <v>10</v>
      </c>
      <c r="Z206" s="1554">
        <f>'別紙様式2-3（６月以降分）'!Z206</f>
        <v>6</v>
      </c>
      <c r="AA206" s="1357" t="s">
        <v>45</v>
      </c>
      <c r="AB206" s="1554">
        <f>'別紙様式2-3（６月以降分）'!AB206</f>
        <v>7</v>
      </c>
      <c r="AC206" s="1357" t="s">
        <v>10</v>
      </c>
      <c r="AD206" s="1554">
        <f>'別紙様式2-3（６月以降分）'!AD206</f>
        <v>3</v>
      </c>
      <c r="AE206" s="1357" t="s">
        <v>2188</v>
      </c>
      <c r="AF206" s="1357" t="s">
        <v>24</v>
      </c>
      <c r="AG206" s="1357">
        <f>IF(X206&gt;=1,(AB206*12+AD206)-(X206*12+Z206)+1,"")</f>
        <v>10</v>
      </c>
      <c r="AH206" s="1363" t="s">
        <v>38</v>
      </c>
      <c r="AI206" s="1484" t="str">
        <f>'別紙様式2-3（６月以降分）'!AI206</f>
        <v/>
      </c>
      <c r="AJ206" s="1556" t="str">
        <f>'別紙様式2-3（６月以降分）'!AJ206</f>
        <v/>
      </c>
      <c r="AK206" s="1584">
        <f>'別紙様式2-3（６月以降分）'!AK206</f>
        <v>0</v>
      </c>
      <c r="AL206" s="1560" t="str">
        <f>IF('別紙様式2-3（６月以降分）'!AL206="","",'別紙様式2-3（６月以降分）'!AL206)</f>
        <v/>
      </c>
      <c r="AM206" s="1572">
        <f>'別紙様式2-3（６月以降分）'!AM206</f>
        <v>0</v>
      </c>
      <c r="AN206" s="1574"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3"/>
      <c r="V207" s="1461"/>
      <c r="W207" s="1354"/>
      <c r="X207" s="1555"/>
      <c r="Y207" s="1358"/>
      <c r="Z207" s="1555"/>
      <c r="AA207" s="1358"/>
      <c r="AB207" s="1555"/>
      <c r="AC207" s="1358"/>
      <c r="AD207" s="1555"/>
      <c r="AE207" s="1358"/>
      <c r="AF207" s="1358"/>
      <c r="AG207" s="1358"/>
      <c r="AH207" s="1364"/>
      <c r="AI207" s="1485"/>
      <c r="AJ207" s="1557"/>
      <c r="AK207" s="1585"/>
      <c r="AL207" s="1561"/>
      <c r="AM207" s="1573"/>
      <c r="AN207" s="1575"/>
      <c r="AO207" s="1407"/>
      <c r="AP207" s="1567"/>
      <c r="AQ207" s="1407"/>
      <c r="AR207" s="1587"/>
      <c r="AS207" s="1569"/>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2196</v>
      </c>
      <c r="Q208" s="1507" t="str">
        <f>IFERROR(VLOOKUP('別紙様式2-2（４・５月分）'!AR158,【参考】数式用!$AT$5:$AV$22,3,FALSE),"")</f>
        <v/>
      </c>
      <c r="R208" s="1391" t="s">
        <v>2207</v>
      </c>
      <c r="S208" s="1399" t="str">
        <f>IFERROR(VLOOKUP(K206,【参考】数式用!$A$5:$AB$27,MATCH(Q208,【参考】数式用!$B$4:$AB$4,0)+1,0),"")</f>
        <v/>
      </c>
      <c r="T208" s="1462" t="s">
        <v>2285</v>
      </c>
      <c r="U208" s="1570"/>
      <c r="V208" s="1466" t="str">
        <f>IFERROR(VLOOKUP(K206,【参考】数式用!$A$5:$AB$27,MATCH(U208,【参考】数式用!$B$4:$AB$4,0)+1,0),"")</f>
        <v/>
      </c>
      <c r="W208" s="1468" t="s">
        <v>19</v>
      </c>
      <c r="X208" s="1538"/>
      <c r="Y208" s="1410" t="s">
        <v>10</v>
      </c>
      <c r="Z208" s="1538"/>
      <c r="AA208" s="1410" t="s">
        <v>45</v>
      </c>
      <c r="AB208" s="1538"/>
      <c r="AC208" s="1410" t="s">
        <v>10</v>
      </c>
      <c r="AD208" s="1538"/>
      <c r="AE208" s="1410" t="s">
        <v>2188</v>
      </c>
      <c r="AF208" s="1410" t="s">
        <v>24</v>
      </c>
      <c r="AG208" s="1410" t="str">
        <f>IF(X208&gt;=1,(AB208*12+AD208)-(X208*12+Z208)+1,"")</f>
        <v/>
      </c>
      <c r="AH208" s="1412" t="s">
        <v>38</v>
      </c>
      <c r="AI208" s="1414" t="str">
        <f t="shared" ref="AI208" si="187">IFERROR(ROUNDDOWN(ROUND(L206*V208,0)*M206,0)*AG208,"")</f>
        <v/>
      </c>
      <c r="AJ208" s="1578" t="str">
        <f>IFERROR(ROUNDDOWN(ROUND((L206*(V208-AX206)),0)*M206,0)*AG208,"")</f>
        <v/>
      </c>
      <c r="AK208" s="1497" t="str">
        <f>IFERROR(ROUNDDOWN(ROUNDDOWN(ROUND(L206*VLOOKUP(K206,【参考】数式用!$A$5:$AB$27,MATCH("新加算Ⅳ",【参考】数式用!$B$4:$AB$4,0)+1,0),0)*M206,0)*AG208*0.5,0),"")</f>
        <v/>
      </c>
      <c r="AL208" s="1580"/>
      <c r="AM208" s="1588" t="str">
        <f>IFERROR(IF('別紙様式2-2（４・５月分）'!Q160="ベア加算","", IF(OR(U208="新加算Ⅰ",U208="新加算Ⅱ",U208="新加算Ⅲ",U208="新加算Ⅳ"),ROUNDDOWN(ROUND(L206*VLOOKUP(K206,【参考】数式用!$A$5:$I$27,MATCH("ベア加算",【参考】数式用!$B$4:$I$4,0)+1,0),0)*M206,0)*AG208,"")),"")</f>
        <v/>
      </c>
      <c r="AN208" s="1544"/>
      <c r="AO208" s="1536"/>
      <c r="AP208" s="1548"/>
      <c r="AQ208" s="1536"/>
      <c r="AR208" s="1550"/>
      <c r="AS208" s="1552"/>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71"/>
      <c r="V209" s="1467"/>
      <c r="W209" s="1469"/>
      <c r="X209" s="1539"/>
      <c r="Y209" s="1411"/>
      <c r="Z209" s="1539"/>
      <c r="AA209" s="1411"/>
      <c r="AB209" s="1539"/>
      <c r="AC209" s="1411"/>
      <c r="AD209" s="1539"/>
      <c r="AE209" s="1411"/>
      <c r="AF209" s="1411"/>
      <c r="AG209" s="1411"/>
      <c r="AH209" s="1413"/>
      <c r="AI209" s="1415"/>
      <c r="AJ209" s="1579"/>
      <c r="AK209" s="1498"/>
      <c r="AL209" s="1581"/>
      <c r="AM209" s="1589"/>
      <c r="AN209" s="1545"/>
      <c r="AO209" s="1537"/>
      <c r="AP209" s="1549"/>
      <c r="AQ209" s="1537"/>
      <c r="AR209" s="1551"/>
      <c r="AS209" s="1553"/>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2275</v>
      </c>
      <c r="U210" s="1562" t="str">
        <f>IF('別紙様式2-3（６月以降分）'!U210="","",'別紙様式2-3（６月以降分）'!U210)</f>
        <v/>
      </c>
      <c r="V210" s="1460" t="str">
        <f>IFERROR(VLOOKUP(K210,【参考】数式用!$A$5:$AB$27,MATCH(U210,【参考】数式用!$B$4:$AB$4,0)+1,0),"")</f>
        <v/>
      </c>
      <c r="W210" s="1353" t="s">
        <v>19</v>
      </c>
      <c r="X210" s="1554">
        <f>'別紙様式2-3（６月以降分）'!X210</f>
        <v>6</v>
      </c>
      <c r="Y210" s="1357" t="s">
        <v>10</v>
      </c>
      <c r="Z210" s="1554">
        <f>'別紙様式2-3（６月以降分）'!Z210</f>
        <v>6</v>
      </c>
      <c r="AA210" s="1357" t="s">
        <v>45</v>
      </c>
      <c r="AB210" s="1554">
        <f>'別紙様式2-3（６月以降分）'!AB210</f>
        <v>7</v>
      </c>
      <c r="AC210" s="1357" t="s">
        <v>10</v>
      </c>
      <c r="AD210" s="1554">
        <f>'別紙様式2-3（６月以降分）'!AD210</f>
        <v>3</v>
      </c>
      <c r="AE210" s="1357" t="s">
        <v>2188</v>
      </c>
      <c r="AF210" s="1357" t="s">
        <v>24</v>
      </c>
      <c r="AG210" s="1357">
        <f>IF(X210&gt;=1,(AB210*12+AD210)-(X210*12+Z210)+1,"")</f>
        <v>10</v>
      </c>
      <c r="AH210" s="1363" t="s">
        <v>38</v>
      </c>
      <c r="AI210" s="1484" t="str">
        <f>'別紙様式2-3（６月以降分）'!AI210</f>
        <v/>
      </c>
      <c r="AJ210" s="1556" t="str">
        <f>'別紙様式2-3（６月以降分）'!AJ210</f>
        <v/>
      </c>
      <c r="AK210" s="1584">
        <f>'別紙様式2-3（６月以降分）'!AK210</f>
        <v>0</v>
      </c>
      <c r="AL210" s="1560" t="str">
        <f>IF('別紙様式2-3（６月以降分）'!AL210="","",'別紙様式2-3（６月以降分）'!AL210)</f>
        <v/>
      </c>
      <c r="AM210" s="1572">
        <f>'別紙様式2-3（６月以降分）'!AM210</f>
        <v>0</v>
      </c>
      <c r="AN210" s="1574"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3"/>
      <c r="V211" s="1461"/>
      <c r="W211" s="1354"/>
      <c r="X211" s="1555"/>
      <c r="Y211" s="1358"/>
      <c r="Z211" s="1555"/>
      <c r="AA211" s="1358"/>
      <c r="AB211" s="1555"/>
      <c r="AC211" s="1358"/>
      <c r="AD211" s="1555"/>
      <c r="AE211" s="1358"/>
      <c r="AF211" s="1358"/>
      <c r="AG211" s="1358"/>
      <c r="AH211" s="1364"/>
      <c r="AI211" s="1485"/>
      <c r="AJ211" s="1557"/>
      <c r="AK211" s="1585"/>
      <c r="AL211" s="1561"/>
      <c r="AM211" s="1573"/>
      <c r="AN211" s="1575"/>
      <c r="AO211" s="1407"/>
      <c r="AP211" s="1567"/>
      <c r="AQ211" s="1407"/>
      <c r="AR211" s="1587"/>
      <c r="AS211" s="1569"/>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2196</v>
      </c>
      <c r="Q212" s="1507" t="str">
        <f>IFERROR(VLOOKUP('別紙様式2-2（４・５月分）'!AR161,【参考】数式用!$AT$5:$AV$22,3,FALSE),"")</f>
        <v/>
      </c>
      <c r="R212" s="1391" t="s">
        <v>2207</v>
      </c>
      <c r="S212" s="1397" t="str">
        <f>IFERROR(VLOOKUP(K210,【参考】数式用!$A$5:$AB$27,MATCH(Q212,【参考】数式用!$B$4:$AB$4,0)+1,0),"")</f>
        <v/>
      </c>
      <c r="T212" s="1462" t="s">
        <v>2285</v>
      </c>
      <c r="U212" s="1570"/>
      <c r="V212" s="1466" t="str">
        <f>IFERROR(VLOOKUP(K210,【参考】数式用!$A$5:$AB$27,MATCH(U212,【参考】数式用!$B$4:$AB$4,0)+1,0),"")</f>
        <v/>
      </c>
      <c r="W212" s="1468" t="s">
        <v>19</v>
      </c>
      <c r="X212" s="1538"/>
      <c r="Y212" s="1410" t="s">
        <v>10</v>
      </c>
      <c r="Z212" s="1538"/>
      <c r="AA212" s="1410" t="s">
        <v>45</v>
      </c>
      <c r="AB212" s="1538"/>
      <c r="AC212" s="1410" t="s">
        <v>10</v>
      </c>
      <c r="AD212" s="1538"/>
      <c r="AE212" s="1410" t="s">
        <v>2188</v>
      </c>
      <c r="AF212" s="1410" t="s">
        <v>24</v>
      </c>
      <c r="AG212" s="1410" t="str">
        <f>IF(X212&gt;=1,(AB212*12+AD212)-(X212*12+Z212)+1,"")</f>
        <v/>
      </c>
      <c r="AH212" s="1412" t="s">
        <v>38</v>
      </c>
      <c r="AI212" s="1414" t="str">
        <f t="shared" ref="AI212" si="191">IFERROR(ROUNDDOWN(ROUND(L210*V212,0)*M210,0)*AG212,"")</f>
        <v/>
      </c>
      <c r="AJ212" s="1578" t="str">
        <f>IFERROR(ROUNDDOWN(ROUND((L210*(V212-AX210)),0)*M210,0)*AG212,"")</f>
        <v/>
      </c>
      <c r="AK212" s="1497" t="str">
        <f>IFERROR(ROUNDDOWN(ROUNDDOWN(ROUND(L210*VLOOKUP(K210,【参考】数式用!$A$5:$AB$27,MATCH("新加算Ⅳ",【参考】数式用!$B$4:$AB$4,0)+1,0),0)*M210,0)*AG212*0.5,0),"")</f>
        <v/>
      </c>
      <c r="AL212" s="1580"/>
      <c r="AM212" s="1588" t="str">
        <f>IFERROR(IF('別紙様式2-2（４・５月分）'!Q163="ベア加算","", IF(OR(U212="新加算Ⅰ",U212="新加算Ⅱ",U212="新加算Ⅲ",U212="新加算Ⅳ"),ROUNDDOWN(ROUND(L210*VLOOKUP(K210,【参考】数式用!$A$5:$I$27,MATCH("ベア加算",【参考】数式用!$B$4:$I$4,0)+1,0),0)*M210,0)*AG212,"")),"")</f>
        <v/>
      </c>
      <c r="AN212" s="1544"/>
      <c r="AO212" s="1536"/>
      <c r="AP212" s="1548"/>
      <c r="AQ212" s="1536"/>
      <c r="AR212" s="1550"/>
      <c r="AS212" s="1552"/>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71"/>
      <c r="V213" s="1467"/>
      <c r="W213" s="1469"/>
      <c r="X213" s="1539"/>
      <c r="Y213" s="1411"/>
      <c r="Z213" s="1539"/>
      <c r="AA213" s="1411"/>
      <c r="AB213" s="1539"/>
      <c r="AC213" s="1411"/>
      <c r="AD213" s="1539"/>
      <c r="AE213" s="1411"/>
      <c r="AF213" s="1411"/>
      <c r="AG213" s="1411"/>
      <c r="AH213" s="1413"/>
      <c r="AI213" s="1415"/>
      <c r="AJ213" s="1579"/>
      <c r="AK213" s="1498"/>
      <c r="AL213" s="1581"/>
      <c r="AM213" s="1589"/>
      <c r="AN213" s="1545"/>
      <c r="AO213" s="1537"/>
      <c r="AP213" s="1549"/>
      <c r="AQ213" s="1537"/>
      <c r="AR213" s="1551"/>
      <c r="AS213" s="1553"/>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2275</v>
      </c>
      <c r="U214" s="1562" t="str">
        <f>IF('別紙様式2-3（６月以降分）'!U214="","",'別紙様式2-3（６月以降分）'!U214)</f>
        <v/>
      </c>
      <c r="V214" s="1460" t="str">
        <f>IFERROR(VLOOKUP(K214,【参考】数式用!$A$5:$AB$27,MATCH(U214,【参考】数式用!$B$4:$AB$4,0)+1,0),"")</f>
        <v/>
      </c>
      <c r="W214" s="1353" t="s">
        <v>19</v>
      </c>
      <c r="X214" s="1554">
        <f>'別紙様式2-3（６月以降分）'!X214</f>
        <v>6</v>
      </c>
      <c r="Y214" s="1357" t="s">
        <v>10</v>
      </c>
      <c r="Z214" s="1554">
        <f>'別紙様式2-3（６月以降分）'!Z214</f>
        <v>6</v>
      </c>
      <c r="AA214" s="1357" t="s">
        <v>45</v>
      </c>
      <c r="AB214" s="1554">
        <f>'別紙様式2-3（６月以降分）'!AB214</f>
        <v>7</v>
      </c>
      <c r="AC214" s="1357" t="s">
        <v>10</v>
      </c>
      <c r="AD214" s="1554">
        <f>'別紙様式2-3（６月以降分）'!AD214</f>
        <v>3</v>
      </c>
      <c r="AE214" s="1357" t="s">
        <v>2188</v>
      </c>
      <c r="AF214" s="1357" t="s">
        <v>24</v>
      </c>
      <c r="AG214" s="1357">
        <f>IF(X214&gt;=1,(AB214*12+AD214)-(X214*12+Z214)+1,"")</f>
        <v>10</v>
      </c>
      <c r="AH214" s="1363" t="s">
        <v>38</v>
      </c>
      <c r="AI214" s="1484" t="str">
        <f>'別紙様式2-3（６月以降分）'!AI214</f>
        <v/>
      </c>
      <c r="AJ214" s="1556" t="str">
        <f>'別紙様式2-3（６月以降分）'!AJ214</f>
        <v/>
      </c>
      <c r="AK214" s="1584">
        <f>'別紙様式2-3（６月以降分）'!AK214</f>
        <v>0</v>
      </c>
      <c r="AL214" s="1560" t="str">
        <f>IF('別紙様式2-3（６月以降分）'!AL214="","",'別紙様式2-3（６月以降分）'!AL214)</f>
        <v/>
      </c>
      <c r="AM214" s="1572">
        <f>'別紙様式2-3（６月以降分）'!AM214</f>
        <v>0</v>
      </c>
      <c r="AN214" s="1574"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3"/>
      <c r="V215" s="1461"/>
      <c r="W215" s="1354"/>
      <c r="X215" s="1555"/>
      <c r="Y215" s="1358"/>
      <c r="Z215" s="1555"/>
      <c r="AA215" s="1358"/>
      <c r="AB215" s="1555"/>
      <c r="AC215" s="1358"/>
      <c r="AD215" s="1555"/>
      <c r="AE215" s="1358"/>
      <c r="AF215" s="1358"/>
      <c r="AG215" s="1358"/>
      <c r="AH215" s="1364"/>
      <c r="AI215" s="1485"/>
      <c r="AJ215" s="1557"/>
      <c r="AK215" s="1585"/>
      <c r="AL215" s="1561"/>
      <c r="AM215" s="1573"/>
      <c r="AN215" s="1575"/>
      <c r="AO215" s="1407"/>
      <c r="AP215" s="1567"/>
      <c r="AQ215" s="1407"/>
      <c r="AR215" s="1587"/>
      <c r="AS215" s="1569"/>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2196</v>
      </c>
      <c r="Q216" s="1507" t="str">
        <f>IFERROR(VLOOKUP('別紙様式2-2（４・５月分）'!AR164,【参考】数式用!$AT$5:$AV$22,3,FALSE),"")</f>
        <v/>
      </c>
      <c r="R216" s="1391" t="s">
        <v>2207</v>
      </c>
      <c r="S216" s="1399" t="str">
        <f>IFERROR(VLOOKUP(K214,【参考】数式用!$A$5:$AB$27,MATCH(Q216,【参考】数式用!$B$4:$AB$4,0)+1,0),"")</f>
        <v/>
      </c>
      <c r="T216" s="1462" t="s">
        <v>2285</v>
      </c>
      <c r="U216" s="1570"/>
      <c r="V216" s="1466" t="str">
        <f>IFERROR(VLOOKUP(K214,【参考】数式用!$A$5:$AB$27,MATCH(U216,【参考】数式用!$B$4:$AB$4,0)+1,0),"")</f>
        <v/>
      </c>
      <c r="W216" s="1468" t="s">
        <v>19</v>
      </c>
      <c r="X216" s="1538"/>
      <c r="Y216" s="1410" t="s">
        <v>10</v>
      </c>
      <c r="Z216" s="1538"/>
      <c r="AA216" s="1410" t="s">
        <v>45</v>
      </c>
      <c r="AB216" s="1538"/>
      <c r="AC216" s="1410" t="s">
        <v>10</v>
      </c>
      <c r="AD216" s="1538"/>
      <c r="AE216" s="1410" t="s">
        <v>2188</v>
      </c>
      <c r="AF216" s="1410" t="s">
        <v>24</v>
      </c>
      <c r="AG216" s="1410" t="str">
        <f>IF(X216&gt;=1,(AB216*12+AD216)-(X216*12+Z216)+1,"")</f>
        <v/>
      </c>
      <c r="AH216" s="1412" t="s">
        <v>38</v>
      </c>
      <c r="AI216" s="1414" t="str">
        <f t="shared" ref="AI216" si="195">IFERROR(ROUNDDOWN(ROUND(L214*V216,0)*M214,0)*AG216,"")</f>
        <v/>
      </c>
      <c r="AJ216" s="1578" t="str">
        <f>IFERROR(ROUNDDOWN(ROUND((L214*(V216-AX214)),0)*M214,0)*AG216,"")</f>
        <v/>
      </c>
      <c r="AK216" s="1497" t="str">
        <f>IFERROR(ROUNDDOWN(ROUNDDOWN(ROUND(L214*VLOOKUP(K214,【参考】数式用!$A$5:$AB$27,MATCH("新加算Ⅳ",【参考】数式用!$B$4:$AB$4,0)+1,0),0)*M214,0)*AG216*0.5,0),"")</f>
        <v/>
      </c>
      <c r="AL216" s="1580"/>
      <c r="AM216" s="1588" t="str">
        <f>IFERROR(IF('別紙様式2-2（４・５月分）'!Q166="ベア加算","", IF(OR(U216="新加算Ⅰ",U216="新加算Ⅱ",U216="新加算Ⅲ",U216="新加算Ⅳ"),ROUNDDOWN(ROUND(L214*VLOOKUP(K214,【参考】数式用!$A$5:$I$27,MATCH("ベア加算",【参考】数式用!$B$4:$I$4,0)+1,0),0)*M214,0)*AG216,"")),"")</f>
        <v/>
      </c>
      <c r="AN216" s="1544"/>
      <c r="AO216" s="1536"/>
      <c r="AP216" s="1548"/>
      <c r="AQ216" s="1536"/>
      <c r="AR216" s="1550"/>
      <c r="AS216" s="1552"/>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71"/>
      <c r="V217" s="1467"/>
      <c r="W217" s="1469"/>
      <c r="X217" s="1539"/>
      <c r="Y217" s="1411"/>
      <c r="Z217" s="1539"/>
      <c r="AA217" s="1411"/>
      <c r="AB217" s="1539"/>
      <c r="AC217" s="1411"/>
      <c r="AD217" s="1539"/>
      <c r="AE217" s="1411"/>
      <c r="AF217" s="1411"/>
      <c r="AG217" s="1411"/>
      <c r="AH217" s="1413"/>
      <c r="AI217" s="1415"/>
      <c r="AJ217" s="1579"/>
      <c r="AK217" s="1498"/>
      <c r="AL217" s="1581"/>
      <c r="AM217" s="1589"/>
      <c r="AN217" s="1545"/>
      <c r="AO217" s="1537"/>
      <c r="AP217" s="1549"/>
      <c r="AQ217" s="1537"/>
      <c r="AR217" s="1551"/>
      <c r="AS217" s="1553"/>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2275</v>
      </c>
      <c r="U218" s="1562" t="str">
        <f>IF('別紙様式2-3（６月以降分）'!U218="","",'別紙様式2-3（６月以降分）'!U218)</f>
        <v/>
      </c>
      <c r="V218" s="1460" t="str">
        <f>IFERROR(VLOOKUP(K218,【参考】数式用!$A$5:$AB$27,MATCH(U218,【参考】数式用!$B$4:$AB$4,0)+1,0),"")</f>
        <v/>
      </c>
      <c r="W218" s="1353" t="s">
        <v>19</v>
      </c>
      <c r="X218" s="1554">
        <f>'別紙様式2-3（６月以降分）'!X218</f>
        <v>6</v>
      </c>
      <c r="Y218" s="1357" t="s">
        <v>10</v>
      </c>
      <c r="Z218" s="1554">
        <f>'別紙様式2-3（６月以降分）'!Z218</f>
        <v>6</v>
      </c>
      <c r="AA218" s="1357" t="s">
        <v>45</v>
      </c>
      <c r="AB218" s="1554">
        <f>'別紙様式2-3（６月以降分）'!AB218</f>
        <v>7</v>
      </c>
      <c r="AC218" s="1357" t="s">
        <v>10</v>
      </c>
      <c r="AD218" s="1554">
        <f>'別紙様式2-3（６月以降分）'!AD218</f>
        <v>3</v>
      </c>
      <c r="AE218" s="1357" t="s">
        <v>2188</v>
      </c>
      <c r="AF218" s="1357" t="s">
        <v>24</v>
      </c>
      <c r="AG218" s="1357">
        <f>IF(X218&gt;=1,(AB218*12+AD218)-(X218*12+Z218)+1,"")</f>
        <v>10</v>
      </c>
      <c r="AH218" s="1363" t="s">
        <v>38</v>
      </c>
      <c r="AI218" s="1484" t="str">
        <f>'別紙様式2-3（６月以降分）'!AI218</f>
        <v/>
      </c>
      <c r="AJ218" s="1556" t="str">
        <f>'別紙様式2-3（６月以降分）'!AJ218</f>
        <v/>
      </c>
      <c r="AK218" s="1584">
        <f>'別紙様式2-3（６月以降分）'!AK218</f>
        <v>0</v>
      </c>
      <c r="AL218" s="1560" t="str">
        <f>IF('別紙様式2-3（６月以降分）'!AL218="","",'別紙様式2-3（６月以降分）'!AL218)</f>
        <v/>
      </c>
      <c r="AM218" s="1572">
        <f>'別紙様式2-3（６月以降分）'!AM218</f>
        <v>0</v>
      </c>
      <c r="AN218" s="1574"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3"/>
      <c r="V219" s="1461"/>
      <c r="W219" s="1354"/>
      <c r="X219" s="1555"/>
      <c r="Y219" s="1358"/>
      <c r="Z219" s="1555"/>
      <c r="AA219" s="1358"/>
      <c r="AB219" s="1555"/>
      <c r="AC219" s="1358"/>
      <c r="AD219" s="1555"/>
      <c r="AE219" s="1358"/>
      <c r="AF219" s="1358"/>
      <c r="AG219" s="1358"/>
      <c r="AH219" s="1364"/>
      <c r="AI219" s="1485"/>
      <c r="AJ219" s="1557"/>
      <c r="AK219" s="1585"/>
      <c r="AL219" s="1561"/>
      <c r="AM219" s="1573"/>
      <c r="AN219" s="1575"/>
      <c r="AO219" s="1407"/>
      <c r="AP219" s="1567"/>
      <c r="AQ219" s="1407"/>
      <c r="AR219" s="1587"/>
      <c r="AS219" s="1569"/>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2196</v>
      </c>
      <c r="Q220" s="1507" t="str">
        <f>IFERROR(VLOOKUP('別紙様式2-2（４・５月分）'!AR167,【参考】数式用!$AT$5:$AV$22,3,FALSE),"")</f>
        <v/>
      </c>
      <c r="R220" s="1391" t="s">
        <v>2207</v>
      </c>
      <c r="S220" s="1397" t="str">
        <f>IFERROR(VLOOKUP(K218,【参考】数式用!$A$5:$AB$27,MATCH(Q220,【参考】数式用!$B$4:$AB$4,0)+1,0),"")</f>
        <v/>
      </c>
      <c r="T220" s="1462" t="s">
        <v>2285</v>
      </c>
      <c r="U220" s="1570"/>
      <c r="V220" s="1466" t="str">
        <f>IFERROR(VLOOKUP(K218,【参考】数式用!$A$5:$AB$27,MATCH(U220,【参考】数式用!$B$4:$AB$4,0)+1,0),"")</f>
        <v/>
      </c>
      <c r="W220" s="1468" t="s">
        <v>19</v>
      </c>
      <c r="X220" s="1538"/>
      <c r="Y220" s="1410" t="s">
        <v>10</v>
      </c>
      <c r="Z220" s="1538"/>
      <c r="AA220" s="1410" t="s">
        <v>45</v>
      </c>
      <c r="AB220" s="1538"/>
      <c r="AC220" s="1410" t="s">
        <v>10</v>
      </c>
      <c r="AD220" s="1538"/>
      <c r="AE220" s="1410" t="s">
        <v>2188</v>
      </c>
      <c r="AF220" s="1410" t="s">
        <v>24</v>
      </c>
      <c r="AG220" s="1410" t="str">
        <f>IF(X220&gt;=1,(AB220*12+AD220)-(X220*12+Z220)+1,"")</f>
        <v/>
      </c>
      <c r="AH220" s="1412" t="s">
        <v>38</v>
      </c>
      <c r="AI220" s="1414" t="str">
        <f t="shared" ref="AI220" si="199">IFERROR(ROUNDDOWN(ROUND(L218*V220,0)*M218,0)*AG220,"")</f>
        <v/>
      </c>
      <c r="AJ220" s="1578" t="str">
        <f>IFERROR(ROUNDDOWN(ROUND((L218*(V220-AX218)),0)*M218,0)*AG220,"")</f>
        <v/>
      </c>
      <c r="AK220" s="1497" t="str">
        <f>IFERROR(ROUNDDOWN(ROUNDDOWN(ROUND(L218*VLOOKUP(K218,【参考】数式用!$A$5:$AB$27,MATCH("新加算Ⅳ",【参考】数式用!$B$4:$AB$4,0)+1,0),0)*M218,0)*AG220*0.5,0),"")</f>
        <v/>
      </c>
      <c r="AL220" s="1580"/>
      <c r="AM220" s="1588" t="str">
        <f>IFERROR(IF('別紙様式2-2（４・５月分）'!Q169="ベア加算","", IF(OR(U220="新加算Ⅰ",U220="新加算Ⅱ",U220="新加算Ⅲ",U220="新加算Ⅳ"),ROUNDDOWN(ROUND(L218*VLOOKUP(K218,【参考】数式用!$A$5:$I$27,MATCH("ベア加算",【参考】数式用!$B$4:$I$4,0)+1,0),0)*M218,0)*AG220,"")),"")</f>
        <v/>
      </c>
      <c r="AN220" s="1544"/>
      <c r="AO220" s="1536"/>
      <c r="AP220" s="1548"/>
      <c r="AQ220" s="1536"/>
      <c r="AR220" s="1550"/>
      <c r="AS220" s="1552"/>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71"/>
      <c r="V221" s="1467"/>
      <c r="W221" s="1469"/>
      <c r="X221" s="1539"/>
      <c r="Y221" s="1411"/>
      <c r="Z221" s="1539"/>
      <c r="AA221" s="1411"/>
      <c r="AB221" s="1539"/>
      <c r="AC221" s="1411"/>
      <c r="AD221" s="1539"/>
      <c r="AE221" s="1411"/>
      <c r="AF221" s="1411"/>
      <c r="AG221" s="1411"/>
      <c r="AH221" s="1413"/>
      <c r="AI221" s="1415"/>
      <c r="AJ221" s="1579"/>
      <c r="AK221" s="1498"/>
      <c r="AL221" s="1581"/>
      <c r="AM221" s="1589"/>
      <c r="AN221" s="1545"/>
      <c r="AO221" s="1537"/>
      <c r="AP221" s="1549"/>
      <c r="AQ221" s="1537"/>
      <c r="AR221" s="1551"/>
      <c r="AS221" s="1553"/>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2275</v>
      </c>
      <c r="U222" s="1562" t="str">
        <f>IF('別紙様式2-3（６月以降分）'!U222="","",'別紙様式2-3（６月以降分）'!U222)</f>
        <v/>
      </c>
      <c r="V222" s="1460" t="str">
        <f>IFERROR(VLOOKUP(K222,【参考】数式用!$A$5:$AB$27,MATCH(U222,【参考】数式用!$B$4:$AB$4,0)+1,0),"")</f>
        <v/>
      </c>
      <c r="W222" s="1353" t="s">
        <v>19</v>
      </c>
      <c r="X222" s="1554">
        <f>'別紙様式2-3（６月以降分）'!X222</f>
        <v>6</v>
      </c>
      <c r="Y222" s="1357" t="s">
        <v>10</v>
      </c>
      <c r="Z222" s="1554">
        <f>'別紙様式2-3（６月以降分）'!Z222</f>
        <v>6</v>
      </c>
      <c r="AA222" s="1357" t="s">
        <v>45</v>
      </c>
      <c r="AB222" s="1554">
        <f>'別紙様式2-3（６月以降分）'!AB222</f>
        <v>7</v>
      </c>
      <c r="AC222" s="1357" t="s">
        <v>10</v>
      </c>
      <c r="AD222" s="1554">
        <f>'別紙様式2-3（６月以降分）'!AD222</f>
        <v>3</v>
      </c>
      <c r="AE222" s="1357" t="s">
        <v>2188</v>
      </c>
      <c r="AF222" s="1357" t="s">
        <v>24</v>
      </c>
      <c r="AG222" s="1357">
        <f>IF(X222&gt;=1,(AB222*12+AD222)-(X222*12+Z222)+1,"")</f>
        <v>10</v>
      </c>
      <c r="AH222" s="1363" t="s">
        <v>38</v>
      </c>
      <c r="AI222" s="1484" t="str">
        <f>'別紙様式2-3（６月以降分）'!AI222</f>
        <v/>
      </c>
      <c r="AJ222" s="1556" t="str">
        <f>'別紙様式2-3（６月以降分）'!AJ222</f>
        <v/>
      </c>
      <c r="AK222" s="1584">
        <f>'別紙様式2-3（６月以降分）'!AK222</f>
        <v>0</v>
      </c>
      <c r="AL222" s="1560" t="str">
        <f>IF('別紙様式2-3（６月以降分）'!AL222="","",'別紙様式2-3（６月以降分）'!AL222)</f>
        <v/>
      </c>
      <c r="AM222" s="1572">
        <f>'別紙様式2-3（６月以降分）'!AM222</f>
        <v>0</v>
      </c>
      <c r="AN222" s="1574"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3"/>
      <c r="V223" s="1461"/>
      <c r="W223" s="1354"/>
      <c r="X223" s="1555"/>
      <c r="Y223" s="1358"/>
      <c r="Z223" s="1555"/>
      <c r="AA223" s="1358"/>
      <c r="AB223" s="1555"/>
      <c r="AC223" s="1358"/>
      <c r="AD223" s="1555"/>
      <c r="AE223" s="1358"/>
      <c r="AF223" s="1358"/>
      <c r="AG223" s="1358"/>
      <c r="AH223" s="1364"/>
      <c r="AI223" s="1485"/>
      <c r="AJ223" s="1557"/>
      <c r="AK223" s="1585"/>
      <c r="AL223" s="1561"/>
      <c r="AM223" s="1573"/>
      <c r="AN223" s="1575"/>
      <c r="AO223" s="1407"/>
      <c r="AP223" s="1567"/>
      <c r="AQ223" s="1407"/>
      <c r="AR223" s="1587"/>
      <c r="AS223" s="1569"/>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2196</v>
      </c>
      <c r="Q224" s="1507" t="str">
        <f>IFERROR(VLOOKUP('別紙様式2-2（４・５月分）'!AR170,【参考】数式用!$AT$5:$AV$22,3,FALSE),"")</f>
        <v/>
      </c>
      <c r="R224" s="1391" t="s">
        <v>2207</v>
      </c>
      <c r="S224" s="1399" t="str">
        <f>IFERROR(VLOOKUP(K222,【参考】数式用!$A$5:$AB$27,MATCH(Q224,【参考】数式用!$B$4:$AB$4,0)+1,0),"")</f>
        <v/>
      </c>
      <c r="T224" s="1462" t="s">
        <v>2285</v>
      </c>
      <c r="U224" s="1570"/>
      <c r="V224" s="1466" t="str">
        <f>IFERROR(VLOOKUP(K222,【参考】数式用!$A$5:$AB$27,MATCH(U224,【参考】数式用!$B$4:$AB$4,0)+1,0),"")</f>
        <v/>
      </c>
      <c r="W224" s="1468" t="s">
        <v>19</v>
      </c>
      <c r="X224" s="1538"/>
      <c r="Y224" s="1410" t="s">
        <v>10</v>
      </c>
      <c r="Z224" s="1538"/>
      <c r="AA224" s="1410" t="s">
        <v>45</v>
      </c>
      <c r="AB224" s="1538"/>
      <c r="AC224" s="1410" t="s">
        <v>10</v>
      </c>
      <c r="AD224" s="1538"/>
      <c r="AE224" s="1410" t="s">
        <v>2188</v>
      </c>
      <c r="AF224" s="1410" t="s">
        <v>24</v>
      </c>
      <c r="AG224" s="1410" t="str">
        <f>IF(X224&gt;=1,(AB224*12+AD224)-(X224*12+Z224)+1,"")</f>
        <v/>
      </c>
      <c r="AH224" s="1412" t="s">
        <v>38</v>
      </c>
      <c r="AI224" s="1414" t="str">
        <f t="shared" ref="AI224" si="203">IFERROR(ROUNDDOWN(ROUND(L222*V224,0)*M222,0)*AG224,"")</f>
        <v/>
      </c>
      <c r="AJ224" s="1578" t="str">
        <f>IFERROR(ROUNDDOWN(ROUND((L222*(V224-AX222)),0)*M222,0)*AG224,"")</f>
        <v/>
      </c>
      <c r="AK224" s="1497" t="str">
        <f>IFERROR(ROUNDDOWN(ROUNDDOWN(ROUND(L222*VLOOKUP(K222,【参考】数式用!$A$5:$AB$27,MATCH("新加算Ⅳ",【参考】数式用!$B$4:$AB$4,0)+1,0),0)*M222,0)*AG224*0.5,0),"")</f>
        <v/>
      </c>
      <c r="AL224" s="1580"/>
      <c r="AM224" s="1588" t="str">
        <f>IFERROR(IF('別紙様式2-2（４・５月分）'!Q172="ベア加算","", IF(OR(U224="新加算Ⅰ",U224="新加算Ⅱ",U224="新加算Ⅲ",U224="新加算Ⅳ"),ROUNDDOWN(ROUND(L222*VLOOKUP(K222,【参考】数式用!$A$5:$I$27,MATCH("ベア加算",【参考】数式用!$B$4:$I$4,0)+1,0),0)*M222,0)*AG224,"")),"")</f>
        <v/>
      </c>
      <c r="AN224" s="1544"/>
      <c r="AO224" s="1536"/>
      <c r="AP224" s="1548"/>
      <c r="AQ224" s="1536"/>
      <c r="AR224" s="1550"/>
      <c r="AS224" s="1552"/>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71"/>
      <c r="V225" s="1467"/>
      <c r="W225" s="1469"/>
      <c r="X225" s="1539"/>
      <c r="Y225" s="1411"/>
      <c r="Z225" s="1539"/>
      <c r="AA225" s="1411"/>
      <c r="AB225" s="1539"/>
      <c r="AC225" s="1411"/>
      <c r="AD225" s="1539"/>
      <c r="AE225" s="1411"/>
      <c r="AF225" s="1411"/>
      <c r="AG225" s="1411"/>
      <c r="AH225" s="1413"/>
      <c r="AI225" s="1415"/>
      <c r="AJ225" s="1579"/>
      <c r="AK225" s="1498"/>
      <c r="AL225" s="1581"/>
      <c r="AM225" s="1589"/>
      <c r="AN225" s="1545"/>
      <c r="AO225" s="1537"/>
      <c r="AP225" s="1549"/>
      <c r="AQ225" s="1537"/>
      <c r="AR225" s="1551"/>
      <c r="AS225" s="1553"/>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2275</v>
      </c>
      <c r="U226" s="1562" t="str">
        <f>IF('別紙様式2-3（６月以降分）'!U226="","",'別紙様式2-3（６月以降分）'!U226)</f>
        <v/>
      </c>
      <c r="V226" s="1460" t="str">
        <f>IFERROR(VLOOKUP(K226,【参考】数式用!$A$5:$AB$27,MATCH(U226,【参考】数式用!$B$4:$AB$4,0)+1,0),"")</f>
        <v/>
      </c>
      <c r="W226" s="1353" t="s">
        <v>19</v>
      </c>
      <c r="X226" s="1554">
        <f>'別紙様式2-3（６月以降分）'!X226</f>
        <v>6</v>
      </c>
      <c r="Y226" s="1357" t="s">
        <v>10</v>
      </c>
      <c r="Z226" s="1554">
        <f>'別紙様式2-3（６月以降分）'!Z226</f>
        <v>6</v>
      </c>
      <c r="AA226" s="1357" t="s">
        <v>45</v>
      </c>
      <c r="AB226" s="1554">
        <f>'別紙様式2-3（６月以降分）'!AB226</f>
        <v>7</v>
      </c>
      <c r="AC226" s="1357" t="s">
        <v>10</v>
      </c>
      <c r="AD226" s="1554">
        <f>'別紙様式2-3（６月以降分）'!AD226</f>
        <v>3</v>
      </c>
      <c r="AE226" s="1357" t="s">
        <v>2188</v>
      </c>
      <c r="AF226" s="1357" t="s">
        <v>24</v>
      </c>
      <c r="AG226" s="1357">
        <f>IF(X226&gt;=1,(AB226*12+AD226)-(X226*12+Z226)+1,"")</f>
        <v>10</v>
      </c>
      <c r="AH226" s="1363" t="s">
        <v>38</v>
      </c>
      <c r="AI226" s="1484" t="str">
        <f>'別紙様式2-3（６月以降分）'!AI226</f>
        <v/>
      </c>
      <c r="AJ226" s="1556" t="str">
        <f>'別紙様式2-3（６月以降分）'!AJ226</f>
        <v/>
      </c>
      <c r="AK226" s="1584">
        <f>'別紙様式2-3（６月以降分）'!AK226</f>
        <v>0</v>
      </c>
      <c r="AL226" s="1560" t="str">
        <f>IF('別紙様式2-3（６月以降分）'!AL226="","",'別紙様式2-3（６月以降分）'!AL226)</f>
        <v/>
      </c>
      <c r="AM226" s="1572">
        <f>'別紙様式2-3（６月以降分）'!AM226</f>
        <v>0</v>
      </c>
      <c r="AN226" s="1574"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3"/>
      <c r="V227" s="1461"/>
      <c r="W227" s="1354"/>
      <c r="X227" s="1555"/>
      <c r="Y227" s="1358"/>
      <c r="Z227" s="1555"/>
      <c r="AA227" s="1358"/>
      <c r="AB227" s="1555"/>
      <c r="AC227" s="1358"/>
      <c r="AD227" s="1555"/>
      <c r="AE227" s="1358"/>
      <c r="AF227" s="1358"/>
      <c r="AG227" s="1358"/>
      <c r="AH227" s="1364"/>
      <c r="AI227" s="1485"/>
      <c r="AJ227" s="1557"/>
      <c r="AK227" s="1585"/>
      <c r="AL227" s="1561"/>
      <c r="AM227" s="1573"/>
      <c r="AN227" s="1575"/>
      <c r="AO227" s="1407"/>
      <c r="AP227" s="1567"/>
      <c r="AQ227" s="1407"/>
      <c r="AR227" s="1587"/>
      <c r="AS227" s="1569"/>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2196</v>
      </c>
      <c r="Q228" s="1507" t="str">
        <f>IFERROR(VLOOKUP('別紙様式2-2（４・５月分）'!AR173,【参考】数式用!$AT$5:$AV$22,3,FALSE),"")</f>
        <v/>
      </c>
      <c r="R228" s="1391" t="s">
        <v>2207</v>
      </c>
      <c r="S228" s="1397" t="str">
        <f>IFERROR(VLOOKUP(K226,【参考】数式用!$A$5:$AB$27,MATCH(Q228,【参考】数式用!$B$4:$AB$4,0)+1,0),"")</f>
        <v/>
      </c>
      <c r="T228" s="1462" t="s">
        <v>2285</v>
      </c>
      <c r="U228" s="1570"/>
      <c r="V228" s="1466" t="str">
        <f>IFERROR(VLOOKUP(K226,【参考】数式用!$A$5:$AB$27,MATCH(U228,【参考】数式用!$B$4:$AB$4,0)+1,0),"")</f>
        <v/>
      </c>
      <c r="W228" s="1468" t="s">
        <v>19</v>
      </c>
      <c r="X228" s="1538"/>
      <c r="Y228" s="1410" t="s">
        <v>10</v>
      </c>
      <c r="Z228" s="1538"/>
      <c r="AA228" s="1410" t="s">
        <v>45</v>
      </c>
      <c r="AB228" s="1538"/>
      <c r="AC228" s="1410" t="s">
        <v>10</v>
      </c>
      <c r="AD228" s="1538"/>
      <c r="AE228" s="1410" t="s">
        <v>2188</v>
      </c>
      <c r="AF228" s="1410" t="s">
        <v>24</v>
      </c>
      <c r="AG228" s="1410" t="str">
        <f>IF(X228&gt;=1,(AB228*12+AD228)-(X228*12+Z228)+1,"")</f>
        <v/>
      </c>
      <c r="AH228" s="1412" t="s">
        <v>38</v>
      </c>
      <c r="AI228" s="1414" t="str">
        <f t="shared" ref="AI228" si="207">IFERROR(ROUNDDOWN(ROUND(L226*V228,0)*M226,0)*AG228,"")</f>
        <v/>
      </c>
      <c r="AJ228" s="1578" t="str">
        <f>IFERROR(ROUNDDOWN(ROUND((L226*(V228-AX226)),0)*M226,0)*AG228,"")</f>
        <v/>
      </c>
      <c r="AK228" s="1497" t="str">
        <f>IFERROR(ROUNDDOWN(ROUNDDOWN(ROUND(L226*VLOOKUP(K226,【参考】数式用!$A$5:$AB$27,MATCH("新加算Ⅳ",【参考】数式用!$B$4:$AB$4,0)+1,0),0)*M226,0)*AG228*0.5,0),"")</f>
        <v/>
      </c>
      <c r="AL228" s="1580"/>
      <c r="AM228" s="1588" t="str">
        <f>IFERROR(IF('別紙様式2-2（４・５月分）'!Q175="ベア加算","", IF(OR(U228="新加算Ⅰ",U228="新加算Ⅱ",U228="新加算Ⅲ",U228="新加算Ⅳ"),ROUNDDOWN(ROUND(L226*VLOOKUP(K226,【参考】数式用!$A$5:$I$27,MATCH("ベア加算",【参考】数式用!$B$4:$I$4,0)+1,0),0)*M226,0)*AG228,"")),"")</f>
        <v/>
      </c>
      <c r="AN228" s="1544"/>
      <c r="AO228" s="1536"/>
      <c r="AP228" s="1548"/>
      <c r="AQ228" s="1536"/>
      <c r="AR228" s="1550"/>
      <c r="AS228" s="1552"/>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71"/>
      <c r="V229" s="1467"/>
      <c r="W229" s="1469"/>
      <c r="X229" s="1539"/>
      <c r="Y229" s="1411"/>
      <c r="Z229" s="1539"/>
      <c r="AA229" s="1411"/>
      <c r="AB229" s="1539"/>
      <c r="AC229" s="1411"/>
      <c r="AD229" s="1539"/>
      <c r="AE229" s="1411"/>
      <c r="AF229" s="1411"/>
      <c r="AG229" s="1411"/>
      <c r="AH229" s="1413"/>
      <c r="AI229" s="1415"/>
      <c r="AJ229" s="1579"/>
      <c r="AK229" s="1498"/>
      <c r="AL229" s="1581"/>
      <c r="AM229" s="1589"/>
      <c r="AN229" s="1545"/>
      <c r="AO229" s="1537"/>
      <c r="AP229" s="1549"/>
      <c r="AQ229" s="1537"/>
      <c r="AR229" s="1551"/>
      <c r="AS229" s="1553"/>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2275</v>
      </c>
      <c r="U230" s="1562" t="str">
        <f>IF('別紙様式2-3（６月以降分）'!U230="","",'別紙様式2-3（６月以降分）'!U230)</f>
        <v/>
      </c>
      <c r="V230" s="1460" t="str">
        <f>IFERROR(VLOOKUP(K230,【参考】数式用!$A$5:$AB$27,MATCH(U230,【参考】数式用!$B$4:$AB$4,0)+1,0),"")</f>
        <v/>
      </c>
      <c r="W230" s="1353" t="s">
        <v>19</v>
      </c>
      <c r="X230" s="1554">
        <f>'別紙様式2-3（６月以降分）'!X230</f>
        <v>6</v>
      </c>
      <c r="Y230" s="1357" t="s">
        <v>10</v>
      </c>
      <c r="Z230" s="1554">
        <f>'別紙様式2-3（６月以降分）'!Z230</f>
        <v>6</v>
      </c>
      <c r="AA230" s="1357" t="s">
        <v>45</v>
      </c>
      <c r="AB230" s="1554">
        <f>'別紙様式2-3（６月以降分）'!AB230</f>
        <v>7</v>
      </c>
      <c r="AC230" s="1357" t="s">
        <v>10</v>
      </c>
      <c r="AD230" s="1554">
        <f>'別紙様式2-3（６月以降分）'!AD230</f>
        <v>3</v>
      </c>
      <c r="AE230" s="1357" t="s">
        <v>2188</v>
      </c>
      <c r="AF230" s="1357" t="s">
        <v>24</v>
      </c>
      <c r="AG230" s="1357">
        <f>IF(X230&gt;=1,(AB230*12+AD230)-(X230*12+Z230)+1,"")</f>
        <v>10</v>
      </c>
      <c r="AH230" s="1363" t="s">
        <v>38</v>
      </c>
      <c r="AI230" s="1484" t="str">
        <f>'別紙様式2-3（６月以降分）'!AI230</f>
        <v/>
      </c>
      <c r="AJ230" s="1556" t="str">
        <f>'別紙様式2-3（６月以降分）'!AJ230</f>
        <v/>
      </c>
      <c r="AK230" s="1584">
        <f>'別紙様式2-3（６月以降分）'!AK230</f>
        <v>0</v>
      </c>
      <c r="AL230" s="1560" t="str">
        <f>IF('別紙様式2-3（６月以降分）'!AL230="","",'別紙様式2-3（６月以降分）'!AL230)</f>
        <v/>
      </c>
      <c r="AM230" s="1572">
        <f>'別紙様式2-3（６月以降分）'!AM230</f>
        <v>0</v>
      </c>
      <c r="AN230" s="1574"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3"/>
      <c r="V231" s="1461"/>
      <c r="W231" s="1354"/>
      <c r="X231" s="1555"/>
      <c r="Y231" s="1358"/>
      <c r="Z231" s="1555"/>
      <c r="AA231" s="1358"/>
      <c r="AB231" s="1555"/>
      <c r="AC231" s="1358"/>
      <c r="AD231" s="1555"/>
      <c r="AE231" s="1358"/>
      <c r="AF231" s="1358"/>
      <c r="AG231" s="1358"/>
      <c r="AH231" s="1364"/>
      <c r="AI231" s="1485"/>
      <c r="AJ231" s="1557"/>
      <c r="AK231" s="1585"/>
      <c r="AL231" s="1561"/>
      <c r="AM231" s="1573"/>
      <c r="AN231" s="1575"/>
      <c r="AO231" s="1407"/>
      <c r="AP231" s="1567"/>
      <c r="AQ231" s="1407"/>
      <c r="AR231" s="1587"/>
      <c r="AS231" s="1569"/>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2196</v>
      </c>
      <c r="Q232" s="1507" t="str">
        <f>IFERROR(VLOOKUP('別紙様式2-2（４・５月分）'!AR176,【参考】数式用!$AT$5:$AV$22,3,FALSE),"")</f>
        <v/>
      </c>
      <c r="R232" s="1391" t="s">
        <v>2207</v>
      </c>
      <c r="S232" s="1399" t="str">
        <f>IFERROR(VLOOKUP(K230,【参考】数式用!$A$5:$AB$27,MATCH(Q232,【参考】数式用!$B$4:$AB$4,0)+1,0),"")</f>
        <v/>
      </c>
      <c r="T232" s="1462" t="s">
        <v>2285</v>
      </c>
      <c r="U232" s="1570"/>
      <c r="V232" s="1466" t="str">
        <f>IFERROR(VLOOKUP(K230,【参考】数式用!$A$5:$AB$27,MATCH(U232,【参考】数式用!$B$4:$AB$4,0)+1,0),"")</f>
        <v/>
      </c>
      <c r="W232" s="1468" t="s">
        <v>19</v>
      </c>
      <c r="X232" s="1538"/>
      <c r="Y232" s="1410" t="s">
        <v>10</v>
      </c>
      <c r="Z232" s="1538"/>
      <c r="AA232" s="1410" t="s">
        <v>45</v>
      </c>
      <c r="AB232" s="1538"/>
      <c r="AC232" s="1410" t="s">
        <v>10</v>
      </c>
      <c r="AD232" s="1538"/>
      <c r="AE232" s="1410" t="s">
        <v>2188</v>
      </c>
      <c r="AF232" s="1410" t="s">
        <v>24</v>
      </c>
      <c r="AG232" s="1410" t="str">
        <f>IF(X232&gt;=1,(AB232*12+AD232)-(X232*12+Z232)+1,"")</f>
        <v/>
      </c>
      <c r="AH232" s="1412" t="s">
        <v>38</v>
      </c>
      <c r="AI232" s="1414" t="str">
        <f t="shared" ref="AI232" si="211">IFERROR(ROUNDDOWN(ROUND(L230*V232,0)*M230,0)*AG232,"")</f>
        <v/>
      </c>
      <c r="AJ232" s="1578" t="str">
        <f>IFERROR(ROUNDDOWN(ROUND((L230*(V232-AX230)),0)*M230,0)*AG232,"")</f>
        <v/>
      </c>
      <c r="AK232" s="1497" t="str">
        <f>IFERROR(ROUNDDOWN(ROUNDDOWN(ROUND(L230*VLOOKUP(K230,【参考】数式用!$A$5:$AB$27,MATCH("新加算Ⅳ",【参考】数式用!$B$4:$AB$4,0)+1,0),0)*M230,0)*AG232*0.5,0),"")</f>
        <v/>
      </c>
      <c r="AL232" s="1580"/>
      <c r="AM232" s="1588" t="str">
        <f>IFERROR(IF('別紙様式2-2（４・５月分）'!Q178="ベア加算","", IF(OR(U232="新加算Ⅰ",U232="新加算Ⅱ",U232="新加算Ⅲ",U232="新加算Ⅳ"),ROUNDDOWN(ROUND(L230*VLOOKUP(K230,【参考】数式用!$A$5:$I$27,MATCH("ベア加算",【参考】数式用!$B$4:$I$4,0)+1,0),0)*M230,0)*AG232,"")),"")</f>
        <v/>
      </c>
      <c r="AN232" s="1544"/>
      <c r="AO232" s="1536"/>
      <c r="AP232" s="1548"/>
      <c r="AQ232" s="1536"/>
      <c r="AR232" s="1550"/>
      <c r="AS232" s="1552"/>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71"/>
      <c r="V233" s="1467"/>
      <c r="W233" s="1469"/>
      <c r="X233" s="1539"/>
      <c r="Y233" s="1411"/>
      <c r="Z233" s="1539"/>
      <c r="AA233" s="1411"/>
      <c r="AB233" s="1539"/>
      <c r="AC233" s="1411"/>
      <c r="AD233" s="1539"/>
      <c r="AE233" s="1411"/>
      <c r="AF233" s="1411"/>
      <c r="AG233" s="1411"/>
      <c r="AH233" s="1413"/>
      <c r="AI233" s="1415"/>
      <c r="AJ233" s="1579"/>
      <c r="AK233" s="1498"/>
      <c r="AL233" s="1581"/>
      <c r="AM233" s="1589"/>
      <c r="AN233" s="1545"/>
      <c r="AO233" s="1537"/>
      <c r="AP233" s="1549"/>
      <c r="AQ233" s="1537"/>
      <c r="AR233" s="1551"/>
      <c r="AS233" s="1553"/>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2275</v>
      </c>
      <c r="U234" s="1562" t="str">
        <f>IF('別紙様式2-3（６月以降分）'!U234="","",'別紙様式2-3（６月以降分）'!U234)</f>
        <v/>
      </c>
      <c r="V234" s="1460" t="str">
        <f>IFERROR(VLOOKUP(K234,【参考】数式用!$A$5:$AB$27,MATCH(U234,【参考】数式用!$B$4:$AB$4,0)+1,0),"")</f>
        <v/>
      </c>
      <c r="W234" s="1353" t="s">
        <v>19</v>
      </c>
      <c r="X234" s="1554">
        <f>'別紙様式2-3（６月以降分）'!X234</f>
        <v>6</v>
      </c>
      <c r="Y234" s="1357" t="s">
        <v>10</v>
      </c>
      <c r="Z234" s="1554">
        <f>'別紙様式2-3（６月以降分）'!Z234</f>
        <v>6</v>
      </c>
      <c r="AA234" s="1357" t="s">
        <v>45</v>
      </c>
      <c r="AB234" s="1554">
        <f>'別紙様式2-3（６月以降分）'!AB234</f>
        <v>7</v>
      </c>
      <c r="AC234" s="1357" t="s">
        <v>10</v>
      </c>
      <c r="AD234" s="1554">
        <f>'別紙様式2-3（６月以降分）'!AD234</f>
        <v>3</v>
      </c>
      <c r="AE234" s="1357" t="s">
        <v>2188</v>
      </c>
      <c r="AF234" s="1357" t="s">
        <v>24</v>
      </c>
      <c r="AG234" s="1357">
        <f>IF(X234&gt;=1,(AB234*12+AD234)-(X234*12+Z234)+1,"")</f>
        <v>10</v>
      </c>
      <c r="AH234" s="1363" t="s">
        <v>38</v>
      </c>
      <c r="AI234" s="1484" t="str">
        <f>'別紙様式2-3（６月以降分）'!AI234</f>
        <v/>
      </c>
      <c r="AJ234" s="1556" t="str">
        <f>'別紙様式2-3（６月以降分）'!AJ234</f>
        <v/>
      </c>
      <c r="AK234" s="1584">
        <f>'別紙様式2-3（６月以降分）'!AK234</f>
        <v>0</v>
      </c>
      <c r="AL234" s="1560" t="str">
        <f>IF('別紙様式2-3（６月以降分）'!AL234="","",'別紙様式2-3（６月以降分）'!AL234)</f>
        <v/>
      </c>
      <c r="AM234" s="1572">
        <f>'別紙様式2-3（６月以降分）'!AM234</f>
        <v>0</v>
      </c>
      <c r="AN234" s="1574"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3"/>
      <c r="V235" s="1461"/>
      <c r="W235" s="1354"/>
      <c r="X235" s="1555"/>
      <c r="Y235" s="1358"/>
      <c r="Z235" s="1555"/>
      <c r="AA235" s="1358"/>
      <c r="AB235" s="1555"/>
      <c r="AC235" s="1358"/>
      <c r="AD235" s="1555"/>
      <c r="AE235" s="1358"/>
      <c r="AF235" s="1358"/>
      <c r="AG235" s="1358"/>
      <c r="AH235" s="1364"/>
      <c r="AI235" s="1485"/>
      <c r="AJ235" s="1557"/>
      <c r="AK235" s="1585"/>
      <c r="AL235" s="1561"/>
      <c r="AM235" s="1573"/>
      <c r="AN235" s="1575"/>
      <c r="AO235" s="1407"/>
      <c r="AP235" s="1567"/>
      <c r="AQ235" s="1407"/>
      <c r="AR235" s="1587"/>
      <c r="AS235" s="1569"/>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2196</v>
      </c>
      <c r="Q236" s="1507" t="str">
        <f>IFERROR(VLOOKUP('別紙様式2-2（４・５月分）'!AR179,【参考】数式用!$AT$5:$AV$22,3,FALSE),"")</f>
        <v/>
      </c>
      <c r="R236" s="1391" t="s">
        <v>2207</v>
      </c>
      <c r="S236" s="1397" t="str">
        <f>IFERROR(VLOOKUP(K234,【参考】数式用!$A$5:$AB$27,MATCH(Q236,【参考】数式用!$B$4:$AB$4,0)+1,0),"")</f>
        <v/>
      </c>
      <c r="T236" s="1462" t="s">
        <v>2285</v>
      </c>
      <c r="U236" s="1570"/>
      <c r="V236" s="1466" t="str">
        <f>IFERROR(VLOOKUP(K234,【参考】数式用!$A$5:$AB$27,MATCH(U236,【参考】数式用!$B$4:$AB$4,0)+1,0),"")</f>
        <v/>
      </c>
      <c r="W236" s="1468" t="s">
        <v>19</v>
      </c>
      <c r="X236" s="1538"/>
      <c r="Y236" s="1410" t="s">
        <v>10</v>
      </c>
      <c r="Z236" s="1538"/>
      <c r="AA236" s="1410" t="s">
        <v>45</v>
      </c>
      <c r="AB236" s="1538"/>
      <c r="AC236" s="1410" t="s">
        <v>10</v>
      </c>
      <c r="AD236" s="1538"/>
      <c r="AE236" s="1410" t="s">
        <v>2188</v>
      </c>
      <c r="AF236" s="1410" t="s">
        <v>24</v>
      </c>
      <c r="AG236" s="1410" t="str">
        <f>IF(X236&gt;=1,(AB236*12+AD236)-(X236*12+Z236)+1,"")</f>
        <v/>
      </c>
      <c r="AH236" s="1412" t="s">
        <v>38</v>
      </c>
      <c r="AI236" s="1414" t="str">
        <f t="shared" ref="AI236" si="215">IFERROR(ROUNDDOWN(ROUND(L234*V236,0)*M234,0)*AG236,"")</f>
        <v/>
      </c>
      <c r="AJ236" s="1578" t="str">
        <f>IFERROR(ROUNDDOWN(ROUND((L234*(V236-AX234)),0)*M234,0)*AG236,"")</f>
        <v/>
      </c>
      <c r="AK236" s="1497" t="str">
        <f>IFERROR(ROUNDDOWN(ROUNDDOWN(ROUND(L234*VLOOKUP(K234,【参考】数式用!$A$5:$AB$27,MATCH("新加算Ⅳ",【参考】数式用!$B$4:$AB$4,0)+1,0),0)*M234,0)*AG236*0.5,0),"")</f>
        <v/>
      </c>
      <c r="AL236" s="1580"/>
      <c r="AM236" s="1588" t="str">
        <f>IFERROR(IF('別紙様式2-2（４・５月分）'!Q181="ベア加算","", IF(OR(U236="新加算Ⅰ",U236="新加算Ⅱ",U236="新加算Ⅲ",U236="新加算Ⅳ"),ROUNDDOWN(ROUND(L234*VLOOKUP(K234,【参考】数式用!$A$5:$I$27,MATCH("ベア加算",【参考】数式用!$B$4:$I$4,0)+1,0),0)*M234,0)*AG236,"")),"")</f>
        <v/>
      </c>
      <c r="AN236" s="1544"/>
      <c r="AO236" s="1536"/>
      <c r="AP236" s="1548"/>
      <c r="AQ236" s="1536"/>
      <c r="AR236" s="1550"/>
      <c r="AS236" s="1552"/>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71"/>
      <c r="V237" s="1467"/>
      <c r="W237" s="1469"/>
      <c r="X237" s="1539"/>
      <c r="Y237" s="1411"/>
      <c r="Z237" s="1539"/>
      <c r="AA237" s="1411"/>
      <c r="AB237" s="1539"/>
      <c r="AC237" s="1411"/>
      <c r="AD237" s="1539"/>
      <c r="AE237" s="1411"/>
      <c r="AF237" s="1411"/>
      <c r="AG237" s="1411"/>
      <c r="AH237" s="1413"/>
      <c r="AI237" s="1415"/>
      <c r="AJ237" s="1579"/>
      <c r="AK237" s="1498"/>
      <c r="AL237" s="1581"/>
      <c r="AM237" s="1589"/>
      <c r="AN237" s="1545"/>
      <c r="AO237" s="1537"/>
      <c r="AP237" s="1549"/>
      <c r="AQ237" s="1537"/>
      <c r="AR237" s="1551"/>
      <c r="AS237" s="1553"/>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2275</v>
      </c>
      <c r="U238" s="1562" t="str">
        <f>IF('別紙様式2-3（６月以降分）'!U238="","",'別紙様式2-3（６月以降分）'!U238)</f>
        <v/>
      </c>
      <c r="V238" s="1460" t="str">
        <f>IFERROR(VLOOKUP(K238,【参考】数式用!$A$5:$AB$27,MATCH(U238,【参考】数式用!$B$4:$AB$4,0)+1,0),"")</f>
        <v/>
      </c>
      <c r="W238" s="1353" t="s">
        <v>19</v>
      </c>
      <c r="X238" s="1554">
        <f>'別紙様式2-3（６月以降分）'!X238</f>
        <v>6</v>
      </c>
      <c r="Y238" s="1357" t="s">
        <v>10</v>
      </c>
      <c r="Z238" s="1554">
        <f>'別紙様式2-3（６月以降分）'!Z238</f>
        <v>6</v>
      </c>
      <c r="AA238" s="1357" t="s">
        <v>45</v>
      </c>
      <c r="AB238" s="1554">
        <f>'別紙様式2-3（６月以降分）'!AB238</f>
        <v>7</v>
      </c>
      <c r="AC238" s="1357" t="s">
        <v>10</v>
      </c>
      <c r="AD238" s="1554">
        <f>'別紙様式2-3（６月以降分）'!AD238</f>
        <v>3</v>
      </c>
      <c r="AE238" s="1357" t="s">
        <v>2188</v>
      </c>
      <c r="AF238" s="1357" t="s">
        <v>24</v>
      </c>
      <c r="AG238" s="1357">
        <f>IF(X238&gt;=1,(AB238*12+AD238)-(X238*12+Z238)+1,"")</f>
        <v>10</v>
      </c>
      <c r="AH238" s="1363" t="s">
        <v>38</v>
      </c>
      <c r="AI238" s="1484" t="str">
        <f>'別紙様式2-3（６月以降分）'!AI238</f>
        <v/>
      </c>
      <c r="AJ238" s="1556" t="str">
        <f>'別紙様式2-3（６月以降分）'!AJ238</f>
        <v/>
      </c>
      <c r="AK238" s="1584">
        <f>'別紙様式2-3（６月以降分）'!AK238</f>
        <v>0</v>
      </c>
      <c r="AL238" s="1560" t="str">
        <f>IF('別紙様式2-3（６月以降分）'!AL238="","",'別紙様式2-3（６月以降分）'!AL238)</f>
        <v/>
      </c>
      <c r="AM238" s="1572">
        <f>'別紙様式2-3（６月以降分）'!AM238</f>
        <v>0</v>
      </c>
      <c r="AN238" s="1574"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3"/>
      <c r="V239" s="1461"/>
      <c r="W239" s="1354"/>
      <c r="X239" s="1555"/>
      <c r="Y239" s="1358"/>
      <c r="Z239" s="1555"/>
      <c r="AA239" s="1358"/>
      <c r="AB239" s="1555"/>
      <c r="AC239" s="1358"/>
      <c r="AD239" s="1555"/>
      <c r="AE239" s="1358"/>
      <c r="AF239" s="1358"/>
      <c r="AG239" s="1358"/>
      <c r="AH239" s="1364"/>
      <c r="AI239" s="1485"/>
      <c r="AJ239" s="1557"/>
      <c r="AK239" s="1585"/>
      <c r="AL239" s="1561"/>
      <c r="AM239" s="1573"/>
      <c r="AN239" s="1575"/>
      <c r="AO239" s="1407"/>
      <c r="AP239" s="1567"/>
      <c r="AQ239" s="1407"/>
      <c r="AR239" s="1587"/>
      <c r="AS239" s="1569"/>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2196</v>
      </c>
      <c r="Q240" s="1507" t="str">
        <f>IFERROR(VLOOKUP('別紙様式2-2（４・５月分）'!AR182,【参考】数式用!$AT$5:$AV$22,3,FALSE),"")</f>
        <v/>
      </c>
      <c r="R240" s="1391" t="s">
        <v>2207</v>
      </c>
      <c r="S240" s="1397" t="str">
        <f>IFERROR(VLOOKUP(K238,【参考】数式用!$A$5:$AB$27,MATCH(Q240,【参考】数式用!$B$4:$AB$4,0)+1,0),"")</f>
        <v/>
      </c>
      <c r="T240" s="1462" t="s">
        <v>2285</v>
      </c>
      <c r="U240" s="1570"/>
      <c r="V240" s="1466" t="str">
        <f>IFERROR(VLOOKUP(K238,【参考】数式用!$A$5:$AB$27,MATCH(U240,【参考】数式用!$B$4:$AB$4,0)+1,0),"")</f>
        <v/>
      </c>
      <c r="W240" s="1468" t="s">
        <v>19</v>
      </c>
      <c r="X240" s="1538"/>
      <c r="Y240" s="1410" t="s">
        <v>10</v>
      </c>
      <c r="Z240" s="1538"/>
      <c r="AA240" s="1410" t="s">
        <v>45</v>
      </c>
      <c r="AB240" s="1538"/>
      <c r="AC240" s="1410" t="s">
        <v>10</v>
      </c>
      <c r="AD240" s="1538"/>
      <c r="AE240" s="1410" t="s">
        <v>2188</v>
      </c>
      <c r="AF240" s="1410" t="s">
        <v>24</v>
      </c>
      <c r="AG240" s="1410" t="str">
        <f>IF(X240&gt;=1,(AB240*12+AD240)-(X240*12+Z240)+1,"")</f>
        <v/>
      </c>
      <c r="AH240" s="1412" t="s">
        <v>38</v>
      </c>
      <c r="AI240" s="1414" t="str">
        <f t="shared" ref="AI240" si="219">IFERROR(ROUNDDOWN(ROUND(L238*V240,0)*M238,0)*AG240,"")</f>
        <v/>
      </c>
      <c r="AJ240" s="1578" t="str">
        <f>IFERROR(ROUNDDOWN(ROUND((L238*(V240-AX238)),0)*M238,0)*AG240,"")</f>
        <v/>
      </c>
      <c r="AK240" s="1497" t="str">
        <f>IFERROR(ROUNDDOWN(ROUNDDOWN(ROUND(L238*VLOOKUP(K238,【参考】数式用!$A$5:$AB$27,MATCH("新加算Ⅳ",【参考】数式用!$B$4:$AB$4,0)+1,0),0)*M238,0)*AG240*0.5,0),"")</f>
        <v/>
      </c>
      <c r="AL240" s="1580"/>
      <c r="AM240" s="1588" t="str">
        <f>IFERROR(IF('別紙様式2-2（４・５月分）'!Q184="ベア加算","", IF(OR(U240="新加算Ⅰ",U240="新加算Ⅱ",U240="新加算Ⅲ",U240="新加算Ⅳ"),ROUNDDOWN(ROUND(L238*VLOOKUP(K238,【参考】数式用!$A$5:$I$27,MATCH("ベア加算",【参考】数式用!$B$4:$I$4,0)+1,0),0)*M238,0)*AG240,"")),"")</f>
        <v/>
      </c>
      <c r="AN240" s="1544"/>
      <c r="AO240" s="1536"/>
      <c r="AP240" s="1548"/>
      <c r="AQ240" s="1536"/>
      <c r="AR240" s="1550"/>
      <c r="AS240" s="1552"/>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71"/>
      <c r="V241" s="1467"/>
      <c r="W241" s="1469"/>
      <c r="X241" s="1539"/>
      <c r="Y241" s="1411"/>
      <c r="Z241" s="1539"/>
      <c r="AA241" s="1411"/>
      <c r="AB241" s="1539"/>
      <c r="AC241" s="1411"/>
      <c r="AD241" s="1539"/>
      <c r="AE241" s="1411"/>
      <c r="AF241" s="1411"/>
      <c r="AG241" s="1411"/>
      <c r="AH241" s="1413"/>
      <c r="AI241" s="1415"/>
      <c r="AJ241" s="1579"/>
      <c r="AK241" s="1498"/>
      <c r="AL241" s="1581"/>
      <c r="AM241" s="1589"/>
      <c r="AN241" s="1545"/>
      <c r="AO241" s="1537"/>
      <c r="AP241" s="1549"/>
      <c r="AQ241" s="1537"/>
      <c r="AR241" s="1551"/>
      <c r="AS241" s="1553"/>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2275</v>
      </c>
      <c r="U242" s="1562" t="str">
        <f>IF('別紙様式2-3（６月以降分）'!U242="","",'別紙様式2-3（６月以降分）'!U242)</f>
        <v/>
      </c>
      <c r="V242" s="1460" t="str">
        <f>IFERROR(VLOOKUP(K242,【参考】数式用!$A$5:$AB$27,MATCH(U242,【参考】数式用!$B$4:$AB$4,0)+1,0),"")</f>
        <v/>
      </c>
      <c r="W242" s="1353" t="s">
        <v>19</v>
      </c>
      <c r="X242" s="1554">
        <f>'別紙様式2-3（６月以降分）'!X242</f>
        <v>6</v>
      </c>
      <c r="Y242" s="1357" t="s">
        <v>10</v>
      </c>
      <c r="Z242" s="1554">
        <f>'別紙様式2-3（６月以降分）'!Z242</f>
        <v>6</v>
      </c>
      <c r="AA242" s="1357" t="s">
        <v>45</v>
      </c>
      <c r="AB242" s="1554">
        <f>'別紙様式2-3（６月以降分）'!AB242</f>
        <v>7</v>
      </c>
      <c r="AC242" s="1357" t="s">
        <v>10</v>
      </c>
      <c r="AD242" s="1554">
        <f>'別紙様式2-3（６月以降分）'!AD242</f>
        <v>3</v>
      </c>
      <c r="AE242" s="1357" t="s">
        <v>2188</v>
      </c>
      <c r="AF242" s="1357" t="s">
        <v>24</v>
      </c>
      <c r="AG242" s="1357">
        <f>IF(X242&gt;=1,(AB242*12+AD242)-(X242*12+Z242)+1,"")</f>
        <v>10</v>
      </c>
      <c r="AH242" s="1363" t="s">
        <v>38</v>
      </c>
      <c r="AI242" s="1484" t="str">
        <f>'別紙様式2-3（６月以降分）'!AI242</f>
        <v/>
      </c>
      <c r="AJ242" s="1556" t="str">
        <f>'別紙様式2-3（６月以降分）'!AJ242</f>
        <v/>
      </c>
      <c r="AK242" s="1584">
        <f>'別紙様式2-3（６月以降分）'!AK242</f>
        <v>0</v>
      </c>
      <c r="AL242" s="1560" t="str">
        <f>IF('別紙様式2-3（６月以降分）'!AL242="","",'別紙様式2-3（６月以降分）'!AL242)</f>
        <v/>
      </c>
      <c r="AM242" s="1572">
        <f>'別紙様式2-3（６月以降分）'!AM242</f>
        <v>0</v>
      </c>
      <c r="AN242" s="1574"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3"/>
      <c r="V243" s="1461"/>
      <c r="W243" s="1354"/>
      <c r="X243" s="1555"/>
      <c r="Y243" s="1358"/>
      <c r="Z243" s="1555"/>
      <c r="AA243" s="1358"/>
      <c r="AB243" s="1555"/>
      <c r="AC243" s="1358"/>
      <c r="AD243" s="1555"/>
      <c r="AE243" s="1358"/>
      <c r="AF243" s="1358"/>
      <c r="AG243" s="1358"/>
      <c r="AH243" s="1364"/>
      <c r="AI243" s="1485"/>
      <c r="AJ243" s="1557"/>
      <c r="AK243" s="1585"/>
      <c r="AL243" s="1561"/>
      <c r="AM243" s="1573"/>
      <c r="AN243" s="1575"/>
      <c r="AO243" s="1407"/>
      <c r="AP243" s="1567"/>
      <c r="AQ243" s="1407"/>
      <c r="AR243" s="1587"/>
      <c r="AS243" s="1569"/>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2196</v>
      </c>
      <c r="Q244" s="1507" t="str">
        <f>IFERROR(VLOOKUP('別紙様式2-2（４・５月分）'!AR185,【参考】数式用!$AT$5:$AV$22,3,FALSE),"")</f>
        <v/>
      </c>
      <c r="R244" s="1391" t="s">
        <v>2207</v>
      </c>
      <c r="S244" s="1399" t="str">
        <f>IFERROR(VLOOKUP(K242,【参考】数式用!$A$5:$AB$27,MATCH(Q244,【参考】数式用!$B$4:$AB$4,0)+1,0),"")</f>
        <v/>
      </c>
      <c r="T244" s="1462" t="s">
        <v>2285</v>
      </c>
      <c r="U244" s="1570"/>
      <c r="V244" s="1466" t="str">
        <f>IFERROR(VLOOKUP(K242,【参考】数式用!$A$5:$AB$27,MATCH(U244,【参考】数式用!$B$4:$AB$4,0)+1,0),"")</f>
        <v/>
      </c>
      <c r="W244" s="1468" t="s">
        <v>19</v>
      </c>
      <c r="X244" s="1538"/>
      <c r="Y244" s="1410" t="s">
        <v>10</v>
      </c>
      <c r="Z244" s="1538"/>
      <c r="AA244" s="1410" t="s">
        <v>45</v>
      </c>
      <c r="AB244" s="1538"/>
      <c r="AC244" s="1410" t="s">
        <v>10</v>
      </c>
      <c r="AD244" s="1538"/>
      <c r="AE244" s="1410" t="s">
        <v>2188</v>
      </c>
      <c r="AF244" s="1410" t="s">
        <v>24</v>
      </c>
      <c r="AG244" s="1410" t="str">
        <f>IF(X244&gt;=1,(AB244*12+AD244)-(X244*12+Z244)+1,"")</f>
        <v/>
      </c>
      <c r="AH244" s="1412" t="s">
        <v>38</v>
      </c>
      <c r="AI244" s="1414" t="str">
        <f t="shared" ref="AI244" si="223">IFERROR(ROUNDDOWN(ROUND(L242*V244,0)*M242,0)*AG244,"")</f>
        <v/>
      </c>
      <c r="AJ244" s="1578" t="str">
        <f>IFERROR(ROUNDDOWN(ROUND((L242*(V244-AX242)),0)*M242,0)*AG244,"")</f>
        <v/>
      </c>
      <c r="AK244" s="1497" t="str">
        <f>IFERROR(ROUNDDOWN(ROUNDDOWN(ROUND(L242*VLOOKUP(K242,【参考】数式用!$A$5:$AB$27,MATCH("新加算Ⅳ",【参考】数式用!$B$4:$AB$4,0)+1,0),0)*M242,0)*AG244*0.5,0),"")</f>
        <v/>
      </c>
      <c r="AL244" s="1580"/>
      <c r="AM244" s="1588" t="str">
        <f>IFERROR(IF('別紙様式2-2（４・５月分）'!Q187="ベア加算","", IF(OR(U244="新加算Ⅰ",U244="新加算Ⅱ",U244="新加算Ⅲ",U244="新加算Ⅳ"),ROUNDDOWN(ROUND(L242*VLOOKUP(K242,【参考】数式用!$A$5:$I$27,MATCH("ベア加算",【参考】数式用!$B$4:$I$4,0)+1,0),0)*M242,0)*AG244,"")),"")</f>
        <v/>
      </c>
      <c r="AN244" s="1544"/>
      <c r="AO244" s="1536"/>
      <c r="AP244" s="1548"/>
      <c r="AQ244" s="1536"/>
      <c r="AR244" s="1550"/>
      <c r="AS244" s="1552"/>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71"/>
      <c r="V245" s="1467"/>
      <c r="W245" s="1469"/>
      <c r="X245" s="1539"/>
      <c r="Y245" s="1411"/>
      <c r="Z245" s="1539"/>
      <c r="AA245" s="1411"/>
      <c r="AB245" s="1539"/>
      <c r="AC245" s="1411"/>
      <c r="AD245" s="1539"/>
      <c r="AE245" s="1411"/>
      <c r="AF245" s="1411"/>
      <c r="AG245" s="1411"/>
      <c r="AH245" s="1413"/>
      <c r="AI245" s="1415"/>
      <c r="AJ245" s="1579"/>
      <c r="AK245" s="1498"/>
      <c r="AL245" s="1581"/>
      <c r="AM245" s="1589"/>
      <c r="AN245" s="1545"/>
      <c r="AO245" s="1537"/>
      <c r="AP245" s="1549"/>
      <c r="AQ245" s="1537"/>
      <c r="AR245" s="1551"/>
      <c r="AS245" s="1553"/>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2275</v>
      </c>
      <c r="U246" s="1562" t="str">
        <f>IF('別紙様式2-3（６月以降分）'!U246="","",'別紙様式2-3（６月以降分）'!U246)</f>
        <v/>
      </c>
      <c r="V246" s="1460" t="str">
        <f>IFERROR(VLOOKUP(K246,【参考】数式用!$A$5:$AB$27,MATCH(U246,【参考】数式用!$B$4:$AB$4,0)+1,0),"")</f>
        <v/>
      </c>
      <c r="W246" s="1353" t="s">
        <v>19</v>
      </c>
      <c r="X246" s="1554">
        <f>'別紙様式2-3（６月以降分）'!X246</f>
        <v>6</v>
      </c>
      <c r="Y246" s="1357" t="s">
        <v>10</v>
      </c>
      <c r="Z246" s="1554">
        <f>'別紙様式2-3（６月以降分）'!Z246</f>
        <v>6</v>
      </c>
      <c r="AA246" s="1357" t="s">
        <v>45</v>
      </c>
      <c r="AB246" s="1554">
        <f>'別紙様式2-3（６月以降分）'!AB246</f>
        <v>7</v>
      </c>
      <c r="AC246" s="1357" t="s">
        <v>10</v>
      </c>
      <c r="AD246" s="1554">
        <f>'別紙様式2-3（６月以降分）'!AD246</f>
        <v>3</v>
      </c>
      <c r="AE246" s="1357" t="s">
        <v>2188</v>
      </c>
      <c r="AF246" s="1357" t="s">
        <v>24</v>
      </c>
      <c r="AG246" s="1357">
        <f>IF(X246&gt;=1,(AB246*12+AD246)-(X246*12+Z246)+1,"")</f>
        <v>10</v>
      </c>
      <c r="AH246" s="1363" t="s">
        <v>38</v>
      </c>
      <c r="AI246" s="1484" t="str">
        <f>'別紙様式2-3（６月以降分）'!AI246</f>
        <v/>
      </c>
      <c r="AJ246" s="1556" t="str">
        <f>'別紙様式2-3（６月以降分）'!AJ246</f>
        <v/>
      </c>
      <c r="AK246" s="1584">
        <f>'別紙様式2-3（６月以降分）'!AK246</f>
        <v>0</v>
      </c>
      <c r="AL246" s="1560" t="str">
        <f>IF('別紙様式2-3（６月以降分）'!AL246="","",'別紙様式2-3（６月以降分）'!AL246)</f>
        <v/>
      </c>
      <c r="AM246" s="1572">
        <f>'別紙様式2-3（６月以降分）'!AM246</f>
        <v>0</v>
      </c>
      <c r="AN246" s="1574"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3"/>
      <c r="V247" s="1461"/>
      <c r="W247" s="1354"/>
      <c r="X247" s="1555"/>
      <c r="Y247" s="1358"/>
      <c r="Z247" s="1555"/>
      <c r="AA247" s="1358"/>
      <c r="AB247" s="1555"/>
      <c r="AC247" s="1358"/>
      <c r="AD247" s="1555"/>
      <c r="AE247" s="1358"/>
      <c r="AF247" s="1358"/>
      <c r="AG247" s="1358"/>
      <c r="AH247" s="1364"/>
      <c r="AI247" s="1485"/>
      <c r="AJ247" s="1557"/>
      <c r="AK247" s="1585"/>
      <c r="AL247" s="1561"/>
      <c r="AM247" s="1573"/>
      <c r="AN247" s="1575"/>
      <c r="AO247" s="1407"/>
      <c r="AP247" s="1567"/>
      <c r="AQ247" s="1407"/>
      <c r="AR247" s="1587"/>
      <c r="AS247" s="1569"/>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2196</v>
      </c>
      <c r="Q248" s="1507" t="str">
        <f>IFERROR(VLOOKUP('別紙様式2-2（４・５月分）'!AR188,【参考】数式用!$AT$5:$AV$22,3,FALSE),"")</f>
        <v/>
      </c>
      <c r="R248" s="1391" t="s">
        <v>2207</v>
      </c>
      <c r="S248" s="1397" t="str">
        <f>IFERROR(VLOOKUP(K246,【参考】数式用!$A$5:$AB$27,MATCH(Q248,【参考】数式用!$B$4:$AB$4,0)+1,0),"")</f>
        <v/>
      </c>
      <c r="T248" s="1462" t="s">
        <v>2285</v>
      </c>
      <c r="U248" s="1570"/>
      <c r="V248" s="1466" t="str">
        <f>IFERROR(VLOOKUP(K246,【参考】数式用!$A$5:$AB$27,MATCH(U248,【参考】数式用!$B$4:$AB$4,0)+1,0),"")</f>
        <v/>
      </c>
      <c r="W248" s="1468" t="s">
        <v>19</v>
      </c>
      <c r="X248" s="1538"/>
      <c r="Y248" s="1410" t="s">
        <v>10</v>
      </c>
      <c r="Z248" s="1538"/>
      <c r="AA248" s="1410" t="s">
        <v>45</v>
      </c>
      <c r="AB248" s="1538"/>
      <c r="AC248" s="1410" t="s">
        <v>10</v>
      </c>
      <c r="AD248" s="1538"/>
      <c r="AE248" s="1410" t="s">
        <v>2188</v>
      </c>
      <c r="AF248" s="1410" t="s">
        <v>24</v>
      </c>
      <c r="AG248" s="1410" t="str">
        <f>IF(X248&gt;=1,(AB248*12+AD248)-(X248*12+Z248)+1,"")</f>
        <v/>
      </c>
      <c r="AH248" s="1412" t="s">
        <v>38</v>
      </c>
      <c r="AI248" s="1414" t="str">
        <f t="shared" ref="AI248" si="227">IFERROR(ROUNDDOWN(ROUND(L246*V248,0)*M246,0)*AG248,"")</f>
        <v/>
      </c>
      <c r="AJ248" s="1578" t="str">
        <f>IFERROR(ROUNDDOWN(ROUND((L246*(V248-AX246)),0)*M246,0)*AG248,"")</f>
        <v/>
      </c>
      <c r="AK248" s="1497" t="str">
        <f>IFERROR(ROUNDDOWN(ROUNDDOWN(ROUND(L246*VLOOKUP(K246,【参考】数式用!$A$5:$AB$27,MATCH("新加算Ⅳ",【参考】数式用!$B$4:$AB$4,0)+1,0),0)*M246,0)*AG248*0.5,0),"")</f>
        <v/>
      </c>
      <c r="AL248" s="1580"/>
      <c r="AM248" s="1588" t="str">
        <f>IFERROR(IF('別紙様式2-2（４・５月分）'!Q190="ベア加算","", IF(OR(U248="新加算Ⅰ",U248="新加算Ⅱ",U248="新加算Ⅲ",U248="新加算Ⅳ"),ROUNDDOWN(ROUND(L246*VLOOKUP(K246,【参考】数式用!$A$5:$I$27,MATCH("ベア加算",【参考】数式用!$B$4:$I$4,0)+1,0),0)*M246,0)*AG248,"")),"")</f>
        <v/>
      </c>
      <c r="AN248" s="1544"/>
      <c r="AO248" s="1536"/>
      <c r="AP248" s="1548"/>
      <c r="AQ248" s="1536"/>
      <c r="AR248" s="1550"/>
      <c r="AS248" s="1552"/>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71"/>
      <c r="V249" s="1467"/>
      <c r="W249" s="1469"/>
      <c r="X249" s="1539"/>
      <c r="Y249" s="1411"/>
      <c r="Z249" s="1539"/>
      <c r="AA249" s="1411"/>
      <c r="AB249" s="1539"/>
      <c r="AC249" s="1411"/>
      <c r="AD249" s="1539"/>
      <c r="AE249" s="1411"/>
      <c r="AF249" s="1411"/>
      <c r="AG249" s="1411"/>
      <c r="AH249" s="1413"/>
      <c r="AI249" s="1415"/>
      <c r="AJ249" s="1579"/>
      <c r="AK249" s="1498"/>
      <c r="AL249" s="1581"/>
      <c r="AM249" s="1589"/>
      <c r="AN249" s="1545"/>
      <c r="AO249" s="1537"/>
      <c r="AP249" s="1549"/>
      <c r="AQ249" s="1537"/>
      <c r="AR249" s="1551"/>
      <c r="AS249" s="1553"/>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2275</v>
      </c>
      <c r="U250" s="1562" t="str">
        <f>IF('別紙様式2-3（６月以降分）'!U250="","",'別紙様式2-3（６月以降分）'!U250)</f>
        <v/>
      </c>
      <c r="V250" s="1460" t="str">
        <f>IFERROR(VLOOKUP(K250,【参考】数式用!$A$5:$AB$27,MATCH(U250,【参考】数式用!$B$4:$AB$4,0)+1,0),"")</f>
        <v/>
      </c>
      <c r="W250" s="1353" t="s">
        <v>19</v>
      </c>
      <c r="X250" s="1554">
        <f>'別紙様式2-3（６月以降分）'!X250</f>
        <v>6</v>
      </c>
      <c r="Y250" s="1357" t="s">
        <v>10</v>
      </c>
      <c r="Z250" s="1554">
        <f>'別紙様式2-3（６月以降分）'!Z250</f>
        <v>6</v>
      </c>
      <c r="AA250" s="1357" t="s">
        <v>45</v>
      </c>
      <c r="AB250" s="1554">
        <f>'別紙様式2-3（６月以降分）'!AB250</f>
        <v>7</v>
      </c>
      <c r="AC250" s="1357" t="s">
        <v>10</v>
      </c>
      <c r="AD250" s="1554">
        <f>'別紙様式2-3（６月以降分）'!AD250</f>
        <v>3</v>
      </c>
      <c r="AE250" s="1357" t="s">
        <v>2188</v>
      </c>
      <c r="AF250" s="1357" t="s">
        <v>24</v>
      </c>
      <c r="AG250" s="1357">
        <f>IF(X250&gt;=1,(AB250*12+AD250)-(X250*12+Z250)+1,"")</f>
        <v>10</v>
      </c>
      <c r="AH250" s="1363" t="s">
        <v>38</v>
      </c>
      <c r="AI250" s="1484" t="str">
        <f>'別紙様式2-3（６月以降分）'!AI250</f>
        <v/>
      </c>
      <c r="AJ250" s="1556" t="str">
        <f>'別紙様式2-3（６月以降分）'!AJ250</f>
        <v/>
      </c>
      <c r="AK250" s="1584">
        <f>'別紙様式2-3（６月以降分）'!AK250</f>
        <v>0</v>
      </c>
      <c r="AL250" s="1560" t="str">
        <f>IF('別紙様式2-3（６月以降分）'!AL250="","",'別紙様式2-3（６月以降分）'!AL250)</f>
        <v/>
      </c>
      <c r="AM250" s="1572">
        <f>'別紙様式2-3（６月以降分）'!AM250</f>
        <v>0</v>
      </c>
      <c r="AN250" s="1574"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3"/>
      <c r="V251" s="1461"/>
      <c r="W251" s="1354"/>
      <c r="X251" s="1555"/>
      <c r="Y251" s="1358"/>
      <c r="Z251" s="1555"/>
      <c r="AA251" s="1358"/>
      <c r="AB251" s="1555"/>
      <c r="AC251" s="1358"/>
      <c r="AD251" s="1555"/>
      <c r="AE251" s="1358"/>
      <c r="AF251" s="1358"/>
      <c r="AG251" s="1358"/>
      <c r="AH251" s="1364"/>
      <c r="AI251" s="1485"/>
      <c r="AJ251" s="1557"/>
      <c r="AK251" s="1585"/>
      <c r="AL251" s="1561"/>
      <c r="AM251" s="1573"/>
      <c r="AN251" s="1575"/>
      <c r="AO251" s="1407"/>
      <c r="AP251" s="1567"/>
      <c r="AQ251" s="1407"/>
      <c r="AR251" s="1587"/>
      <c r="AS251" s="1569"/>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2196</v>
      </c>
      <c r="Q252" s="1507" t="str">
        <f>IFERROR(VLOOKUP('別紙様式2-2（４・５月分）'!AR191,【参考】数式用!$AT$5:$AV$22,3,FALSE),"")</f>
        <v/>
      </c>
      <c r="R252" s="1391" t="s">
        <v>2207</v>
      </c>
      <c r="S252" s="1399" t="str">
        <f>IFERROR(VLOOKUP(K250,【参考】数式用!$A$5:$AB$27,MATCH(Q252,【参考】数式用!$B$4:$AB$4,0)+1,0),"")</f>
        <v/>
      </c>
      <c r="T252" s="1462" t="s">
        <v>2285</v>
      </c>
      <c r="U252" s="1570"/>
      <c r="V252" s="1466" t="str">
        <f>IFERROR(VLOOKUP(K250,【参考】数式用!$A$5:$AB$27,MATCH(U252,【参考】数式用!$B$4:$AB$4,0)+1,0),"")</f>
        <v/>
      </c>
      <c r="W252" s="1468" t="s">
        <v>19</v>
      </c>
      <c r="X252" s="1538"/>
      <c r="Y252" s="1410" t="s">
        <v>10</v>
      </c>
      <c r="Z252" s="1538"/>
      <c r="AA252" s="1410" t="s">
        <v>45</v>
      </c>
      <c r="AB252" s="1538"/>
      <c r="AC252" s="1410" t="s">
        <v>10</v>
      </c>
      <c r="AD252" s="1538"/>
      <c r="AE252" s="1410" t="s">
        <v>2188</v>
      </c>
      <c r="AF252" s="1410" t="s">
        <v>24</v>
      </c>
      <c r="AG252" s="1410" t="str">
        <f>IF(X252&gt;=1,(AB252*12+AD252)-(X252*12+Z252)+1,"")</f>
        <v/>
      </c>
      <c r="AH252" s="1412" t="s">
        <v>38</v>
      </c>
      <c r="AI252" s="1414" t="str">
        <f t="shared" ref="AI252" si="231">IFERROR(ROUNDDOWN(ROUND(L250*V252,0)*M250,0)*AG252,"")</f>
        <v/>
      </c>
      <c r="AJ252" s="1578" t="str">
        <f>IFERROR(ROUNDDOWN(ROUND((L250*(V252-AX250)),0)*M250,0)*AG252,"")</f>
        <v/>
      </c>
      <c r="AK252" s="1497" t="str">
        <f>IFERROR(ROUNDDOWN(ROUNDDOWN(ROUND(L250*VLOOKUP(K250,【参考】数式用!$A$5:$AB$27,MATCH("新加算Ⅳ",【参考】数式用!$B$4:$AB$4,0)+1,0),0)*M250,0)*AG252*0.5,0),"")</f>
        <v/>
      </c>
      <c r="AL252" s="1580"/>
      <c r="AM252" s="1588" t="str">
        <f>IFERROR(IF('別紙様式2-2（４・５月分）'!Q193="ベア加算","", IF(OR(U252="新加算Ⅰ",U252="新加算Ⅱ",U252="新加算Ⅲ",U252="新加算Ⅳ"),ROUNDDOWN(ROUND(L250*VLOOKUP(K250,【参考】数式用!$A$5:$I$27,MATCH("ベア加算",【参考】数式用!$B$4:$I$4,0)+1,0),0)*M250,0)*AG252,"")),"")</f>
        <v/>
      </c>
      <c r="AN252" s="1544"/>
      <c r="AO252" s="1536"/>
      <c r="AP252" s="1548"/>
      <c r="AQ252" s="1536"/>
      <c r="AR252" s="1550"/>
      <c r="AS252" s="1552"/>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71"/>
      <c r="V253" s="1467"/>
      <c r="W253" s="1469"/>
      <c r="X253" s="1539"/>
      <c r="Y253" s="1411"/>
      <c r="Z253" s="1539"/>
      <c r="AA253" s="1411"/>
      <c r="AB253" s="1539"/>
      <c r="AC253" s="1411"/>
      <c r="AD253" s="1539"/>
      <c r="AE253" s="1411"/>
      <c r="AF253" s="1411"/>
      <c r="AG253" s="1411"/>
      <c r="AH253" s="1413"/>
      <c r="AI253" s="1415"/>
      <c r="AJ253" s="1579"/>
      <c r="AK253" s="1498"/>
      <c r="AL253" s="1581"/>
      <c r="AM253" s="1589"/>
      <c r="AN253" s="1545"/>
      <c r="AO253" s="1537"/>
      <c r="AP253" s="1549"/>
      <c r="AQ253" s="1537"/>
      <c r="AR253" s="1551"/>
      <c r="AS253" s="1553"/>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2275</v>
      </c>
      <c r="U254" s="1562" t="str">
        <f>IF('別紙様式2-3（６月以降分）'!U254="","",'別紙様式2-3（６月以降分）'!U254)</f>
        <v/>
      </c>
      <c r="V254" s="1460" t="str">
        <f>IFERROR(VLOOKUP(K254,【参考】数式用!$A$5:$AB$27,MATCH(U254,【参考】数式用!$B$4:$AB$4,0)+1,0),"")</f>
        <v/>
      </c>
      <c r="W254" s="1353" t="s">
        <v>19</v>
      </c>
      <c r="X254" s="1554">
        <f>'別紙様式2-3（６月以降分）'!X254</f>
        <v>6</v>
      </c>
      <c r="Y254" s="1357" t="s">
        <v>10</v>
      </c>
      <c r="Z254" s="1554">
        <f>'別紙様式2-3（６月以降分）'!Z254</f>
        <v>6</v>
      </c>
      <c r="AA254" s="1357" t="s">
        <v>45</v>
      </c>
      <c r="AB254" s="1554">
        <f>'別紙様式2-3（６月以降分）'!AB254</f>
        <v>7</v>
      </c>
      <c r="AC254" s="1357" t="s">
        <v>10</v>
      </c>
      <c r="AD254" s="1554">
        <f>'別紙様式2-3（６月以降分）'!AD254</f>
        <v>3</v>
      </c>
      <c r="AE254" s="1357" t="s">
        <v>2188</v>
      </c>
      <c r="AF254" s="1357" t="s">
        <v>24</v>
      </c>
      <c r="AG254" s="1357">
        <f>IF(X254&gt;=1,(AB254*12+AD254)-(X254*12+Z254)+1,"")</f>
        <v>10</v>
      </c>
      <c r="AH254" s="1363" t="s">
        <v>38</v>
      </c>
      <c r="AI254" s="1484" t="str">
        <f>'別紙様式2-3（６月以降分）'!AI254</f>
        <v/>
      </c>
      <c r="AJ254" s="1556" t="str">
        <f>'別紙様式2-3（６月以降分）'!AJ254</f>
        <v/>
      </c>
      <c r="AK254" s="1584">
        <f>'別紙様式2-3（６月以降分）'!AK254</f>
        <v>0</v>
      </c>
      <c r="AL254" s="1560" t="str">
        <f>IF('別紙様式2-3（６月以降分）'!AL254="","",'別紙様式2-3（６月以降分）'!AL254)</f>
        <v/>
      </c>
      <c r="AM254" s="1572">
        <f>'別紙様式2-3（６月以降分）'!AM254</f>
        <v>0</v>
      </c>
      <c r="AN254" s="1574"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3"/>
      <c r="V255" s="1461"/>
      <c r="W255" s="1354"/>
      <c r="X255" s="1555"/>
      <c r="Y255" s="1358"/>
      <c r="Z255" s="1555"/>
      <c r="AA255" s="1358"/>
      <c r="AB255" s="1555"/>
      <c r="AC255" s="1358"/>
      <c r="AD255" s="1555"/>
      <c r="AE255" s="1358"/>
      <c r="AF255" s="1358"/>
      <c r="AG255" s="1358"/>
      <c r="AH255" s="1364"/>
      <c r="AI255" s="1485"/>
      <c r="AJ255" s="1557"/>
      <c r="AK255" s="1585"/>
      <c r="AL255" s="1561"/>
      <c r="AM255" s="1573"/>
      <c r="AN255" s="1575"/>
      <c r="AO255" s="1407"/>
      <c r="AP255" s="1567"/>
      <c r="AQ255" s="1407"/>
      <c r="AR255" s="1587"/>
      <c r="AS255" s="1569"/>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2196</v>
      </c>
      <c r="Q256" s="1507" t="str">
        <f>IFERROR(VLOOKUP('別紙様式2-2（４・５月分）'!AR194,【参考】数式用!$AT$5:$AV$22,3,FALSE),"")</f>
        <v/>
      </c>
      <c r="R256" s="1391" t="s">
        <v>2207</v>
      </c>
      <c r="S256" s="1397" t="str">
        <f>IFERROR(VLOOKUP(K254,【参考】数式用!$A$5:$AB$27,MATCH(Q256,【参考】数式用!$B$4:$AB$4,0)+1,0),"")</f>
        <v/>
      </c>
      <c r="T256" s="1462" t="s">
        <v>2285</v>
      </c>
      <c r="U256" s="1570"/>
      <c r="V256" s="1466" t="str">
        <f>IFERROR(VLOOKUP(K254,【参考】数式用!$A$5:$AB$27,MATCH(U256,【参考】数式用!$B$4:$AB$4,0)+1,0),"")</f>
        <v/>
      </c>
      <c r="W256" s="1468" t="s">
        <v>19</v>
      </c>
      <c r="X256" s="1538"/>
      <c r="Y256" s="1410" t="s">
        <v>10</v>
      </c>
      <c r="Z256" s="1538"/>
      <c r="AA256" s="1410" t="s">
        <v>45</v>
      </c>
      <c r="AB256" s="1538"/>
      <c r="AC256" s="1410" t="s">
        <v>10</v>
      </c>
      <c r="AD256" s="1538"/>
      <c r="AE256" s="1410" t="s">
        <v>2188</v>
      </c>
      <c r="AF256" s="1410" t="s">
        <v>24</v>
      </c>
      <c r="AG256" s="1410" t="str">
        <f>IF(X256&gt;=1,(AB256*12+AD256)-(X256*12+Z256)+1,"")</f>
        <v/>
      </c>
      <c r="AH256" s="1412" t="s">
        <v>38</v>
      </c>
      <c r="AI256" s="1414" t="str">
        <f t="shared" ref="AI256" si="235">IFERROR(ROUNDDOWN(ROUND(L254*V256,0)*M254,0)*AG256,"")</f>
        <v/>
      </c>
      <c r="AJ256" s="1578" t="str">
        <f>IFERROR(ROUNDDOWN(ROUND((L254*(V256-AX254)),0)*M254,0)*AG256,"")</f>
        <v/>
      </c>
      <c r="AK256" s="1497" t="str">
        <f>IFERROR(ROUNDDOWN(ROUNDDOWN(ROUND(L254*VLOOKUP(K254,【参考】数式用!$A$5:$AB$27,MATCH("新加算Ⅳ",【参考】数式用!$B$4:$AB$4,0)+1,0),0)*M254,0)*AG256*0.5,0),"")</f>
        <v/>
      </c>
      <c r="AL256" s="1580"/>
      <c r="AM256" s="1588" t="str">
        <f>IFERROR(IF('別紙様式2-2（４・５月分）'!Q196="ベア加算","", IF(OR(U256="新加算Ⅰ",U256="新加算Ⅱ",U256="新加算Ⅲ",U256="新加算Ⅳ"),ROUNDDOWN(ROUND(L254*VLOOKUP(K254,【参考】数式用!$A$5:$I$27,MATCH("ベア加算",【参考】数式用!$B$4:$I$4,0)+1,0),0)*M254,0)*AG256,"")),"")</f>
        <v/>
      </c>
      <c r="AN256" s="1544"/>
      <c r="AO256" s="1536"/>
      <c r="AP256" s="1548"/>
      <c r="AQ256" s="1536"/>
      <c r="AR256" s="1550"/>
      <c r="AS256" s="1552"/>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71"/>
      <c r="V257" s="1467"/>
      <c r="W257" s="1469"/>
      <c r="X257" s="1539"/>
      <c r="Y257" s="1411"/>
      <c r="Z257" s="1539"/>
      <c r="AA257" s="1411"/>
      <c r="AB257" s="1539"/>
      <c r="AC257" s="1411"/>
      <c r="AD257" s="1539"/>
      <c r="AE257" s="1411"/>
      <c r="AF257" s="1411"/>
      <c r="AG257" s="1411"/>
      <c r="AH257" s="1413"/>
      <c r="AI257" s="1415"/>
      <c r="AJ257" s="1579"/>
      <c r="AK257" s="1498"/>
      <c r="AL257" s="1581"/>
      <c r="AM257" s="1589"/>
      <c r="AN257" s="1545"/>
      <c r="AO257" s="1537"/>
      <c r="AP257" s="1549"/>
      <c r="AQ257" s="1537"/>
      <c r="AR257" s="1551"/>
      <c r="AS257" s="1553"/>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2275</v>
      </c>
      <c r="U258" s="1562" t="str">
        <f>IF('別紙様式2-3（６月以降分）'!U258="","",'別紙様式2-3（６月以降分）'!U258)</f>
        <v/>
      </c>
      <c r="V258" s="1460" t="str">
        <f>IFERROR(VLOOKUP(K258,【参考】数式用!$A$5:$AB$27,MATCH(U258,【参考】数式用!$B$4:$AB$4,0)+1,0),"")</f>
        <v/>
      </c>
      <c r="W258" s="1353" t="s">
        <v>19</v>
      </c>
      <c r="X258" s="1554">
        <f>'別紙様式2-3（６月以降分）'!X258</f>
        <v>6</v>
      </c>
      <c r="Y258" s="1357" t="s">
        <v>10</v>
      </c>
      <c r="Z258" s="1554">
        <f>'別紙様式2-3（６月以降分）'!Z258</f>
        <v>6</v>
      </c>
      <c r="AA258" s="1357" t="s">
        <v>45</v>
      </c>
      <c r="AB258" s="1554">
        <f>'別紙様式2-3（６月以降分）'!AB258</f>
        <v>7</v>
      </c>
      <c r="AC258" s="1357" t="s">
        <v>10</v>
      </c>
      <c r="AD258" s="1554">
        <f>'別紙様式2-3（６月以降分）'!AD258</f>
        <v>3</v>
      </c>
      <c r="AE258" s="1357" t="s">
        <v>2188</v>
      </c>
      <c r="AF258" s="1357" t="s">
        <v>24</v>
      </c>
      <c r="AG258" s="1357">
        <f>IF(X258&gt;=1,(AB258*12+AD258)-(X258*12+Z258)+1,"")</f>
        <v>10</v>
      </c>
      <c r="AH258" s="1363" t="s">
        <v>38</v>
      </c>
      <c r="AI258" s="1484" t="str">
        <f>'別紙様式2-3（６月以降分）'!AI258</f>
        <v/>
      </c>
      <c r="AJ258" s="1556" t="str">
        <f>'別紙様式2-3（６月以降分）'!AJ258</f>
        <v/>
      </c>
      <c r="AK258" s="1584">
        <f>'別紙様式2-3（６月以降分）'!AK258</f>
        <v>0</v>
      </c>
      <c r="AL258" s="1560" t="str">
        <f>IF('別紙様式2-3（６月以降分）'!AL258="","",'別紙様式2-3（６月以降分）'!AL258)</f>
        <v/>
      </c>
      <c r="AM258" s="1572">
        <f>'別紙様式2-3（６月以降分）'!AM258</f>
        <v>0</v>
      </c>
      <c r="AN258" s="1574"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3"/>
      <c r="V259" s="1461"/>
      <c r="W259" s="1354"/>
      <c r="X259" s="1555"/>
      <c r="Y259" s="1358"/>
      <c r="Z259" s="1555"/>
      <c r="AA259" s="1358"/>
      <c r="AB259" s="1555"/>
      <c r="AC259" s="1358"/>
      <c r="AD259" s="1555"/>
      <c r="AE259" s="1358"/>
      <c r="AF259" s="1358"/>
      <c r="AG259" s="1358"/>
      <c r="AH259" s="1364"/>
      <c r="AI259" s="1485"/>
      <c r="AJ259" s="1557"/>
      <c r="AK259" s="1585"/>
      <c r="AL259" s="1561"/>
      <c r="AM259" s="1573"/>
      <c r="AN259" s="1575"/>
      <c r="AO259" s="1407"/>
      <c r="AP259" s="1567"/>
      <c r="AQ259" s="1407"/>
      <c r="AR259" s="1587"/>
      <c r="AS259" s="1569"/>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2196</v>
      </c>
      <c r="Q260" s="1507" t="str">
        <f>IFERROR(VLOOKUP('別紙様式2-2（４・５月分）'!AR197,【参考】数式用!$AT$5:$AV$22,3,FALSE),"")</f>
        <v/>
      </c>
      <c r="R260" s="1391" t="s">
        <v>2207</v>
      </c>
      <c r="S260" s="1399" t="str">
        <f>IFERROR(VLOOKUP(K258,【参考】数式用!$A$5:$AB$27,MATCH(Q260,【参考】数式用!$B$4:$AB$4,0)+1,0),"")</f>
        <v/>
      </c>
      <c r="T260" s="1462" t="s">
        <v>2285</v>
      </c>
      <c r="U260" s="1570"/>
      <c r="V260" s="1466" t="str">
        <f>IFERROR(VLOOKUP(K258,【参考】数式用!$A$5:$AB$27,MATCH(U260,【参考】数式用!$B$4:$AB$4,0)+1,0),"")</f>
        <v/>
      </c>
      <c r="W260" s="1468" t="s">
        <v>19</v>
      </c>
      <c r="X260" s="1538"/>
      <c r="Y260" s="1410" t="s">
        <v>10</v>
      </c>
      <c r="Z260" s="1538"/>
      <c r="AA260" s="1410" t="s">
        <v>45</v>
      </c>
      <c r="AB260" s="1538"/>
      <c r="AC260" s="1410" t="s">
        <v>10</v>
      </c>
      <c r="AD260" s="1538"/>
      <c r="AE260" s="1410" t="s">
        <v>2188</v>
      </c>
      <c r="AF260" s="1410" t="s">
        <v>24</v>
      </c>
      <c r="AG260" s="1410" t="str">
        <f>IF(X260&gt;=1,(AB260*12+AD260)-(X260*12+Z260)+1,"")</f>
        <v/>
      </c>
      <c r="AH260" s="1412" t="s">
        <v>38</v>
      </c>
      <c r="AI260" s="1414" t="str">
        <f t="shared" ref="AI260" si="239">IFERROR(ROUNDDOWN(ROUND(L258*V260,0)*M258,0)*AG260,"")</f>
        <v/>
      </c>
      <c r="AJ260" s="1578" t="str">
        <f>IFERROR(ROUNDDOWN(ROUND((L258*(V260-AX258)),0)*M258,0)*AG260,"")</f>
        <v/>
      </c>
      <c r="AK260" s="1497" t="str">
        <f>IFERROR(ROUNDDOWN(ROUNDDOWN(ROUND(L258*VLOOKUP(K258,【参考】数式用!$A$5:$AB$27,MATCH("新加算Ⅳ",【参考】数式用!$B$4:$AB$4,0)+1,0),0)*M258,0)*AG260*0.5,0),"")</f>
        <v/>
      </c>
      <c r="AL260" s="1580"/>
      <c r="AM260" s="1588" t="str">
        <f>IFERROR(IF('別紙様式2-2（４・５月分）'!Q199="ベア加算","", IF(OR(U260="新加算Ⅰ",U260="新加算Ⅱ",U260="新加算Ⅲ",U260="新加算Ⅳ"),ROUNDDOWN(ROUND(L258*VLOOKUP(K258,【参考】数式用!$A$5:$I$27,MATCH("ベア加算",【参考】数式用!$B$4:$I$4,0)+1,0),0)*M258,0)*AG260,"")),"")</f>
        <v/>
      </c>
      <c r="AN260" s="1544"/>
      <c r="AO260" s="1536"/>
      <c r="AP260" s="1548"/>
      <c r="AQ260" s="1536"/>
      <c r="AR260" s="1550"/>
      <c r="AS260" s="1552"/>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71"/>
      <c r="V261" s="1467"/>
      <c r="W261" s="1469"/>
      <c r="X261" s="1539"/>
      <c r="Y261" s="1411"/>
      <c r="Z261" s="1539"/>
      <c r="AA261" s="1411"/>
      <c r="AB261" s="1539"/>
      <c r="AC261" s="1411"/>
      <c r="AD261" s="1539"/>
      <c r="AE261" s="1411"/>
      <c r="AF261" s="1411"/>
      <c r="AG261" s="1411"/>
      <c r="AH261" s="1413"/>
      <c r="AI261" s="1415"/>
      <c r="AJ261" s="1579"/>
      <c r="AK261" s="1498"/>
      <c r="AL261" s="1581"/>
      <c r="AM261" s="1589"/>
      <c r="AN261" s="1545"/>
      <c r="AO261" s="1537"/>
      <c r="AP261" s="1549"/>
      <c r="AQ261" s="1537"/>
      <c r="AR261" s="1551"/>
      <c r="AS261" s="1553"/>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2275</v>
      </c>
      <c r="U262" s="1562" t="str">
        <f>IF('別紙様式2-3（６月以降分）'!U262="","",'別紙様式2-3（６月以降分）'!U262)</f>
        <v/>
      </c>
      <c r="V262" s="1460" t="str">
        <f>IFERROR(VLOOKUP(K262,【参考】数式用!$A$5:$AB$27,MATCH(U262,【参考】数式用!$B$4:$AB$4,0)+1,0),"")</f>
        <v/>
      </c>
      <c r="W262" s="1353" t="s">
        <v>19</v>
      </c>
      <c r="X262" s="1554">
        <f>'別紙様式2-3（６月以降分）'!X262</f>
        <v>6</v>
      </c>
      <c r="Y262" s="1357" t="s">
        <v>10</v>
      </c>
      <c r="Z262" s="1554">
        <f>'別紙様式2-3（６月以降分）'!Z262</f>
        <v>6</v>
      </c>
      <c r="AA262" s="1357" t="s">
        <v>45</v>
      </c>
      <c r="AB262" s="1554">
        <f>'別紙様式2-3（６月以降分）'!AB262</f>
        <v>7</v>
      </c>
      <c r="AC262" s="1357" t="s">
        <v>10</v>
      </c>
      <c r="AD262" s="1554">
        <f>'別紙様式2-3（６月以降分）'!AD262</f>
        <v>3</v>
      </c>
      <c r="AE262" s="1357" t="s">
        <v>2188</v>
      </c>
      <c r="AF262" s="1357" t="s">
        <v>24</v>
      </c>
      <c r="AG262" s="1357">
        <f>IF(X262&gt;=1,(AB262*12+AD262)-(X262*12+Z262)+1,"")</f>
        <v>10</v>
      </c>
      <c r="AH262" s="1363" t="s">
        <v>38</v>
      </c>
      <c r="AI262" s="1484" t="str">
        <f>'別紙様式2-3（６月以降分）'!AI262</f>
        <v/>
      </c>
      <c r="AJ262" s="1556" t="str">
        <f>'別紙様式2-3（６月以降分）'!AJ262</f>
        <v/>
      </c>
      <c r="AK262" s="1584">
        <f>'別紙様式2-3（６月以降分）'!AK262</f>
        <v>0</v>
      </c>
      <c r="AL262" s="1560" t="str">
        <f>IF('別紙様式2-3（６月以降分）'!AL262="","",'別紙様式2-3（６月以降分）'!AL262)</f>
        <v/>
      </c>
      <c r="AM262" s="1572">
        <f>'別紙様式2-3（６月以降分）'!AM262</f>
        <v>0</v>
      </c>
      <c r="AN262" s="1574"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3"/>
      <c r="V263" s="1461"/>
      <c r="W263" s="1354"/>
      <c r="X263" s="1555"/>
      <c r="Y263" s="1358"/>
      <c r="Z263" s="1555"/>
      <c r="AA263" s="1358"/>
      <c r="AB263" s="1555"/>
      <c r="AC263" s="1358"/>
      <c r="AD263" s="1555"/>
      <c r="AE263" s="1358"/>
      <c r="AF263" s="1358"/>
      <c r="AG263" s="1358"/>
      <c r="AH263" s="1364"/>
      <c r="AI263" s="1485"/>
      <c r="AJ263" s="1557"/>
      <c r="AK263" s="1585"/>
      <c r="AL263" s="1561"/>
      <c r="AM263" s="1573"/>
      <c r="AN263" s="1575"/>
      <c r="AO263" s="1407"/>
      <c r="AP263" s="1567"/>
      <c r="AQ263" s="1407"/>
      <c r="AR263" s="1587"/>
      <c r="AS263" s="1569"/>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2196</v>
      </c>
      <c r="Q264" s="1507" t="str">
        <f>IFERROR(VLOOKUP('別紙様式2-2（４・５月分）'!AR200,【参考】数式用!$AT$5:$AV$22,3,FALSE),"")</f>
        <v/>
      </c>
      <c r="R264" s="1391" t="s">
        <v>2207</v>
      </c>
      <c r="S264" s="1397" t="str">
        <f>IFERROR(VLOOKUP(K262,【参考】数式用!$A$5:$AB$27,MATCH(Q264,【参考】数式用!$B$4:$AB$4,0)+1,0),"")</f>
        <v/>
      </c>
      <c r="T264" s="1462" t="s">
        <v>2285</v>
      </c>
      <c r="U264" s="1570"/>
      <c r="V264" s="1466" t="str">
        <f>IFERROR(VLOOKUP(K262,【参考】数式用!$A$5:$AB$27,MATCH(U264,【参考】数式用!$B$4:$AB$4,0)+1,0),"")</f>
        <v/>
      </c>
      <c r="W264" s="1468" t="s">
        <v>19</v>
      </c>
      <c r="X264" s="1538"/>
      <c r="Y264" s="1410" t="s">
        <v>10</v>
      </c>
      <c r="Z264" s="1538"/>
      <c r="AA264" s="1410" t="s">
        <v>45</v>
      </c>
      <c r="AB264" s="1538"/>
      <c r="AC264" s="1410" t="s">
        <v>10</v>
      </c>
      <c r="AD264" s="1538"/>
      <c r="AE264" s="1410" t="s">
        <v>2188</v>
      </c>
      <c r="AF264" s="1410" t="s">
        <v>24</v>
      </c>
      <c r="AG264" s="1410" t="str">
        <f>IF(X264&gt;=1,(AB264*12+AD264)-(X264*12+Z264)+1,"")</f>
        <v/>
      </c>
      <c r="AH264" s="1412" t="s">
        <v>38</v>
      </c>
      <c r="AI264" s="1414" t="str">
        <f t="shared" ref="AI264" si="243">IFERROR(ROUNDDOWN(ROUND(L262*V264,0)*M262,0)*AG264,"")</f>
        <v/>
      </c>
      <c r="AJ264" s="1578" t="str">
        <f>IFERROR(ROUNDDOWN(ROUND((L262*(V264-AX262)),0)*M262,0)*AG264,"")</f>
        <v/>
      </c>
      <c r="AK264" s="1497" t="str">
        <f>IFERROR(ROUNDDOWN(ROUNDDOWN(ROUND(L262*VLOOKUP(K262,【参考】数式用!$A$5:$AB$27,MATCH("新加算Ⅳ",【参考】数式用!$B$4:$AB$4,0)+1,0),0)*M262,0)*AG264*0.5,0),"")</f>
        <v/>
      </c>
      <c r="AL264" s="1580"/>
      <c r="AM264" s="1588" t="str">
        <f>IFERROR(IF('別紙様式2-2（４・５月分）'!Q202="ベア加算","", IF(OR(U264="新加算Ⅰ",U264="新加算Ⅱ",U264="新加算Ⅲ",U264="新加算Ⅳ"),ROUNDDOWN(ROUND(L262*VLOOKUP(K262,【参考】数式用!$A$5:$I$27,MATCH("ベア加算",【参考】数式用!$B$4:$I$4,0)+1,0),0)*M262,0)*AG264,"")),"")</f>
        <v/>
      </c>
      <c r="AN264" s="1544"/>
      <c r="AO264" s="1536"/>
      <c r="AP264" s="1548"/>
      <c r="AQ264" s="1536"/>
      <c r="AR264" s="1550"/>
      <c r="AS264" s="1552"/>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71"/>
      <c r="V265" s="1467"/>
      <c r="W265" s="1469"/>
      <c r="X265" s="1539"/>
      <c r="Y265" s="1411"/>
      <c r="Z265" s="1539"/>
      <c r="AA265" s="1411"/>
      <c r="AB265" s="1539"/>
      <c r="AC265" s="1411"/>
      <c r="AD265" s="1539"/>
      <c r="AE265" s="1411"/>
      <c r="AF265" s="1411"/>
      <c r="AG265" s="1411"/>
      <c r="AH265" s="1413"/>
      <c r="AI265" s="1415"/>
      <c r="AJ265" s="1579"/>
      <c r="AK265" s="1498"/>
      <c r="AL265" s="1581"/>
      <c r="AM265" s="1589"/>
      <c r="AN265" s="1545"/>
      <c r="AO265" s="1537"/>
      <c r="AP265" s="1549"/>
      <c r="AQ265" s="1537"/>
      <c r="AR265" s="1551"/>
      <c r="AS265" s="1553"/>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2275</v>
      </c>
      <c r="U266" s="1562" t="str">
        <f>IF('別紙様式2-3（６月以降分）'!U266="","",'別紙様式2-3（６月以降分）'!U266)</f>
        <v/>
      </c>
      <c r="V266" s="1460" t="str">
        <f>IFERROR(VLOOKUP(K266,【参考】数式用!$A$5:$AB$27,MATCH(U266,【参考】数式用!$B$4:$AB$4,0)+1,0),"")</f>
        <v/>
      </c>
      <c r="W266" s="1353" t="s">
        <v>19</v>
      </c>
      <c r="X266" s="1554">
        <f>'別紙様式2-3（６月以降分）'!X266</f>
        <v>6</v>
      </c>
      <c r="Y266" s="1357" t="s">
        <v>10</v>
      </c>
      <c r="Z266" s="1554">
        <f>'別紙様式2-3（６月以降分）'!Z266</f>
        <v>6</v>
      </c>
      <c r="AA266" s="1357" t="s">
        <v>45</v>
      </c>
      <c r="AB266" s="1554">
        <f>'別紙様式2-3（６月以降分）'!AB266</f>
        <v>7</v>
      </c>
      <c r="AC266" s="1357" t="s">
        <v>10</v>
      </c>
      <c r="AD266" s="1554">
        <f>'別紙様式2-3（６月以降分）'!AD266</f>
        <v>3</v>
      </c>
      <c r="AE266" s="1357" t="s">
        <v>2188</v>
      </c>
      <c r="AF266" s="1357" t="s">
        <v>24</v>
      </c>
      <c r="AG266" s="1357">
        <f>IF(X266&gt;=1,(AB266*12+AD266)-(X266*12+Z266)+1,"")</f>
        <v>10</v>
      </c>
      <c r="AH266" s="1363" t="s">
        <v>38</v>
      </c>
      <c r="AI266" s="1484" t="str">
        <f>'別紙様式2-3（６月以降分）'!AI266</f>
        <v/>
      </c>
      <c r="AJ266" s="1556" t="str">
        <f>'別紙様式2-3（６月以降分）'!AJ266</f>
        <v/>
      </c>
      <c r="AK266" s="1584">
        <f>'別紙様式2-3（６月以降分）'!AK266</f>
        <v>0</v>
      </c>
      <c r="AL266" s="1560" t="str">
        <f>IF('別紙様式2-3（６月以降分）'!AL266="","",'別紙様式2-3（６月以降分）'!AL266)</f>
        <v/>
      </c>
      <c r="AM266" s="1572">
        <f>'別紙様式2-3（６月以降分）'!AM266</f>
        <v>0</v>
      </c>
      <c r="AN266" s="1574"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3"/>
      <c r="V267" s="1461"/>
      <c r="W267" s="1354"/>
      <c r="X267" s="1555"/>
      <c r="Y267" s="1358"/>
      <c r="Z267" s="1555"/>
      <c r="AA267" s="1358"/>
      <c r="AB267" s="1555"/>
      <c r="AC267" s="1358"/>
      <c r="AD267" s="1555"/>
      <c r="AE267" s="1358"/>
      <c r="AF267" s="1358"/>
      <c r="AG267" s="1358"/>
      <c r="AH267" s="1364"/>
      <c r="AI267" s="1485"/>
      <c r="AJ267" s="1557"/>
      <c r="AK267" s="1585"/>
      <c r="AL267" s="1561"/>
      <c r="AM267" s="1573"/>
      <c r="AN267" s="1575"/>
      <c r="AO267" s="1407"/>
      <c r="AP267" s="1567"/>
      <c r="AQ267" s="1407"/>
      <c r="AR267" s="1587"/>
      <c r="AS267" s="1569"/>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2196</v>
      </c>
      <c r="Q268" s="1507" t="str">
        <f>IFERROR(VLOOKUP('別紙様式2-2（４・５月分）'!AR203,【参考】数式用!$AT$5:$AV$22,3,FALSE),"")</f>
        <v/>
      </c>
      <c r="R268" s="1391" t="s">
        <v>2207</v>
      </c>
      <c r="S268" s="1399" t="str">
        <f>IFERROR(VLOOKUP(K266,【参考】数式用!$A$5:$AB$27,MATCH(Q268,【参考】数式用!$B$4:$AB$4,0)+1,0),"")</f>
        <v/>
      </c>
      <c r="T268" s="1462" t="s">
        <v>2285</v>
      </c>
      <c r="U268" s="1570"/>
      <c r="V268" s="1466" t="str">
        <f>IFERROR(VLOOKUP(K266,【参考】数式用!$A$5:$AB$27,MATCH(U268,【参考】数式用!$B$4:$AB$4,0)+1,0),"")</f>
        <v/>
      </c>
      <c r="W268" s="1468" t="s">
        <v>19</v>
      </c>
      <c r="X268" s="1538"/>
      <c r="Y268" s="1410" t="s">
        <v>10</v>
      </c>
      <c r="Z268" s="1538"/>
      <c r="AA268" s="1410" t="s">
        <v>45</v>
      </c>
      <c r="AB268" s="1538"/>
      <c r="AC268" s="1410" t="s">
        <v>10</v>
      </c>
      <c r="AD268" s="1538"/>
      <c r="AE268" s="1410" t="s">
        <v>2188</v>
      </c>
      <c r="AF268" s="1410" t="s">
        <v>24</v>
      </c>
      <c r="AG268" s="1410" t="str">
        <f>IF(X268&gt;=1,(AB268*12+AD268)-(X268*12+Z268)+1,"")</f>
        <v/>
      </c>
      <c r="AH268" s="1412" t="s">
        <v>38</v>
      </c>
      <c r="AI268" s="1414" t="str">
        <f t="shared" ref="AI268" si="247">IFERROR(ROUNDDOWN(ROUND(L266*V268,0)*M266,0)*AG268,"")</f>
        <v/>
      </c>
      <c r="AJ268" s="1578" t="str">
        <f>IFERROR(ROUNDDOWN(ROUND((L266*(V268-AX266)),0)*M266,0)*AG268,"")</f>
        <v/>
      </c>
      <c r="AK268" s="1497" t="str">
        <f>IFERROR(ROUNDDOWN(ROUNDDOWN(ROUND(L266*VLOOKUP(K266,【参考】数式用!$A$5:$AB$27,MATCH("新加算Ⅳ",【参考】数式用!$B$4:$AB$4,0)+1,0),0)*M266,0)*AG268*0.5,0),"")</f>
        <v/>
      </c>
      <c r="AL268" s="1580"/>
      <c r="AM268" s="1588" t="str">
        <f>IFERROR(IF('別紙様式2-2（４・５月分）'!Q205="ベア加算","", IF(OR(U268="新加算Ⅰ",U268="新加算Ⅱ",U268="新加算Ⅲ",U268="新加算Ⅳ"),ROUNDDOWN(ROUND(L266*VLOOKUP(K266,【参考】数式用!$A$5:$I$27,MATCH("ベア加算",【参考】数式用!$B$4:$I$4,0)+1,0),0)*M266,0)*AG268,"")),"")</f>
        <v/>
      </c>
      <c r="AN268" s="1544"/>
      <c r="AO268" s="1536"/>
      <c r="AP268" s="1548"/>
      <c r="AQ268" s="1536"/>
      <c r="AR268" s="1550"/>
      <c r="AS268" s="1552"/>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71"/>
      <c r="V269" s="1467"/>
      <c r="W269" s="1469"/>
      <c r="X269" s="1539"/>
      <c r="Y269" s="1411"/>
      <c r="Z269" s="1539"/>
      <c r="AA269" s="1411"/>
      <c r="AB269" s="1539"/>
      <c r="AC269" s="1411"/>
      <c r="AD269" s="1539"/>
      <c r="AE269" s="1411"/>
      <c r="AF269" s="1411"/>
      <c r="AG269" s="1411"/>
      <c r="AH269" s="1413"/>
      <c r="AI269" s="1415"/>
      <c r="AJ269" s="1579"/>
      <c r="AK269" s="1498"/>
      <c r="AL269" s="1581"/>
      <c r="AM269" s="1589"/>
      <c r="AN269" s="1545"/>
      <c r="AO269" s="1537"/>
      <c r="AP269" s="1549"/>
      <c r="AQ269" s="1537"/>
      <c r="AR269" s="1551"/>
      <c r="AS269" s="1553"/>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2275</v>
      </c>
      <c r="U270" s="1562" t="str">
        <f>IF('別紙様式2-3（６月以降分）'!U270="","",'別紙様式2-3（６月以降分）'!U270)</f>
        <v/>
      </c>
      <c r="V270" s="1460" t="str">
        <f>IFERROR(VLOOKUP(K270,【参考】数式用!$A$5:$AB$27,MATCH(U270,【参考】数式用!$B$4:$AB$4,0)+1,0),"")</f>
        <v/>
      </c>
      <c r="W270" s="1353" t="s">
        <v>19</v>
      </c>
      <c r="X270" s="1554">
        <f>'別紙様式2-3（６月以降分）'!X270</f>
        <v>6</v>
      </c>
      <c r="Y270" s="1357" t="s">
        <v>10</v>
      </c>
      <c r="Z270" s="1554">
        <f>'別紙様式2-3（６月以降分）'!Z270</f>
        <v>6</v>
      </c>
      <c r="AA270" s="1357" t="s">
        <v>45</v>
      </c>
      <c r="AB270" s="1554">
        <f>'別紙様式2-3（６月以降分）'!AB270</f>
        <v>7</v>
      </c>
      <c r="AC270" s="1357" t="s">
        <v>10</v>
      </c>
      <c r="AD270" s="1554">
        <f>'別紙様式2-3（６月以降分）'!AD270</f>
        <v>3</v>
      </c>
      <c r="AE270" s="1357" t="s">
        <v>2188</v>
      </c>
      <c r="AF270" s="1357" t="s">
        <v>24</v>
      </c>
      <c r="AG270" s="1357">
        <f>IF(X270&gt;=1,(AB270*12+AD270)-(X270*12+Z270)+1,"")</f>
        <v>10</v>
      </c>
      <c r="AH270" s="1363" t="s">
        <v>38</v>
      </c>
      <c r="AI270" s="1484" t="str">
        <f>'別紙様式2-3（６月以降分）'!AI270</f>
        <v/>
      </c>
      <c r="AJ270" s="1556" t="str">
        <f>'別紙様式2-3（６月以降分）'!AJ270</f>
        <v/>
      </c>
      <c r="AK270" s="1584">
        <f>'別紙様式2-3（６月以降分）'!AK270</f>
        <v>0</v>
      </c>
      <c r="AL270" s="1560" t="str">
        <f>IF('別紙様式2-3（６月以降分）'!AL270="","",'別紙様式2-3（６月以降分）'!AL270)</f>
        <v/>
      </c>
      <c r="AM270" s="1572">
        <f>'別紙様式2-3（６月以降分）'!AM270</f>
        <v>0</v>
      </c>
      <c r="AN270" s="1574"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3"/>
      <c r="V271" s="1461"/>
      <c r="W271" s="1354"/>
      <c r="X271" s="1555"/>
      <c r="Y271" s="1358"/>
      <c r="Z271" s="1555"/>
      <c r="AA271" s="1358"/>
      <c r="AB271" s="1555"/>
      <c r="AC271" s="1358"/>
      <c r="AD271" s="1555"/>
      <c r="AE271" s="1358"/>
      <c r="AF271" s="1358"/>
      <c r="AG271" s="1358"/>
      <c r="AH271" s="1364"/>
      <c r="AI271" s="1485"/>
      <c r="AJ271" s="1557"/>
      <c r="AK271" s="1585"/>
      <c r="AL271" s="1561"/>
      <c r="AM271" s="1573"/>
      <c r="AN271" s="1575"/>
      <c r="AO271" s="1407"/>
      <c r="AP271" s="1567"/>
      <c r="AQ271" s="1407"/>
      <c r="AR271" s="1587"/>
      <c r="AS271" s="1569"/>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2196</v>
      </c>
      <c r="Q272" s="1507" t="str">
        <f>IFERROR(VLOOKUP('別紙様式2-2（４・５月分）'!AR206,【参考】数式用!$AT$5:$AV$22,3,FALSE),"")</f>
        <v/>
      </c>
      <c r="R272" s="1391" t="s">
        <v>2207</v>
      </c>
      <c r="S272" s="1397" t="str">
        <f>IFERROR(VLOOKUP(K270,【参考】数式用!$A$5:$AB$27,MATCH(Q272,【参考】数式用!$B$4:$AB$4,0)+1,0),"")</f>
        <v/>
      </c>
      <c r="T272" s="1462" t="s">
        <v>2285</v>
      </c>
      <c r="U272" s="1570"/>
      <c r="V272" s="1466" t="str">
        <f>IFERROR(VLOOKUP(K270,【参考】数式用!$A$5:$AB$27,MATCH(U272,【参考】数式用!$B$4:$AB$4,0)+1,0),"")</f>
        <v/>
      </c>
      <c r="W272" s="1468" t="s">
        <v>19</v>
      </c>
      <c r="X272" s="1538"/>
      <c r="Y272" s="1410" t="s">
        <v>10</v>
      </c>
      <c r="Z272" s="1538"/>
      <c r="AA272" s="1410" t="s">
        <v>45</v>
      </c>
      <c r="AB272" s="1538"/>
      <c r="AC272" s="1410" t="s">
        <v>10</v>
      </c>
      <c r="AD272" s="1538"/>
      <c r="AE272" s="1410" t="s">
        <v>2188</v>
      </c>
      <c r="AF272" s="1410" t="s">
        <v>24</v>
      </c>
      <c r="AG272" s="1410" t="str">
        <f>IF(X272&gt;=1,(AB272*12+AD272)-(X272*12+Z272)+1,"")</f>
        <v/>
      </c>
      <c r="AH272" s="1412" t="s">
        <v>38</v>
      </c>
      <c r="AI272" s="1414" t="str">
        <f t="shared" ref="AI272" si="251">IFERROR(ROUNDDOWN(ROUND(L270*V272,0)*M270,0)*AG272,"")</f>
        <v/>
      </c>
      <c r="AJ272" s="1578" t="str">
        <f>IFERROR(ROUNDDOWN(ROUND((L270*(V272-AX270)),0)*M270,0)*AG272,"")</f>
        <v/>
      </c>
      <c r="AK272" s="1497" t="str">
        <f>IFERROR(ROUNDDOWN(ROUNDDOWN(ROUND(L270*VLOOKUP(K270,【参考】数式用!$A$5:$AB$27,MATCH("新加算Ⅳ",【参考】数式用!$B$4:$AB$4,0)+1,0),0)*M270,0)*AG272*0.5,0),"")</f>
        <v/>
      </c>
      <c r="AL272" s="1580"/>
      <c r="AM272" s="1588" t="str">
        <f>IFERROR(IF('別紙様式2-2（４・５月分）'!Q208="ベア加算","", IF(OR(U272="新加算Ⅰ",U272="新加算Ⅱ",U272="新加算Ⅲ",U272="新加算Ⅳ"),ROUNDDOWN(ROUND(L270*VLOOKUP(K270,【参考】数式用!$A$5:$I$27,MATCH("ベア加算",【参考】数式用!$B$4:$I$4,0)+1,0),0)*M270,0)*AG272,"")),"")</f>
        <v/>
      </c>
      <c r="AN272" s="1544"/>
      <c r="AO272" s="1536"/>
      <c r="AP272" s="1548"/>
      <c r="AQ272" s="1536"/>
      <c r="AR272" s="1550"/>
      <c r="AS272" s="1552"/>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71"/>
      <c r="V273" s="1467"/>
      <c r="W273" s="1469"/>
      <c r="X273" s="1539"/>
      <c r="Y273" s="1411"/>
      <c r="Z273" s="1539"/>
      <c r="AA273" s="1411"/>
      <c r="AB273" s="1539"/>
      <c r="AC273" s="1411"/>
      <c r="AD273" s="1539"/>
      <c r="AE273" s="1411"/>
      <c r="AF273" s="1411"/>
      <c r="AG273" s="1411"/>
      <c r="AH273" s="1413"/>
      <c r="AI273" s="1415"/>
      <c r="AJ273" s="1579"/>
      <c r="AK273" s="1498"/>
      <c r="AL273" s="1581"/>
      <c r="AM273" s="1589"/>
      <c r="AN273" s="1545"/>
      <c r="AO273" s="1537"/>
      <c r="AP273" s="1549"/>
      <c r="AQ273" s="1537"/>
      <c r="AR273" s="1551"/>
      <c r="AS273" s="1553"/>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2275</v>
      </c>
      <c r="U274" s="1562" t="str">
        <f>IF('別紙様式2-3（６月以降分）'!U274="","",'別紙様式2-3（６月以降分）'!U274)</f>
        <v/>
      </c>
      <c r="V274" s="1460" t="str">
        <f>IFERROR(VLOOKUP(K274,【参考】数式用!$A$5:$AB$27,MATCH(U274,【参考】数式用!$B$4:$AB$4,0)+1,0),"")</f>
        <v/>
      </c>
      <c r="W274" s="1353" t="s">
        <v>19</v>
      </c>
      <c r="X274" s="1554">
        <f>'別紙様式2-3（６月以降分）'!X274</f>
        <v>6</v>
      </c>
      <c r="Y274" s="1357" t="s">
        <v>10</v>
      </c>
      <c r="Z274" s="1554">
        <f>'別紙様式2-3（６月以降分）'!Z274</f>
        <v>6</v>
      </c>
      <c r="AA274" s="1357" t="s">
        <v>45</v>
      </c>
      <c r="AB274" s="1554">
        <f>'別紙様式2-3（６月以降分）'!AB274</f>
        <v>7</v>
      </c>
      <c r="AC274" s="1357" t="s">
        <v>10</v>
      </c>
      <c r="AD274" s="1554">
        <f>'別紙様式2-3（６月以降分）'!AD274</f>
        <v>3</v>
      </c>
      <c r="AE274" s="1357" t="s">
        <v>2188</v>
      </c>
      <c r="AF274" s="1357" t="s">
        <v>24</v>
      </c>
      <c r="AG274" s="1357">
        <f>IF(X274&gt;=1,(AB274*12+AD274)-(X274*12+Z274)+1,"")</f>
        <v>10</v>
      </c>
      <c r="AH274" s="1363" t="s">
        <v>38</v>
      </c>
      <c r="AI274" s="1484" t="str">
        <f>'別紙様式2-3（６月以降分）'!AI274</f>
        <v/>
      </c>
      <c r="AJ274" s="1556" t="str">
        <f>'別紙様式2-3（６月以降分）'!AJ274</f>
        <v/>
      </c>
      <c r="AK274" s="1584">
        <f>'別紙様式2-3（６月以降分）'!AK274</f>
        <v>0</v>
      </c>
      <c r="AL274" s="1560" t="str">
        <f>IF('別紙様式2-3（６月以降分）'!AL274="","",'別紙様式2-3（６月以降分）'!AL274)</f>
        <v/>
      </c>
      <c r="AM274" s="1572">
        <f>'別紙様式2-3（６月以降分）'!AM274</f>
        <v>0</v>
      </c>
      <c r="AN274" s="1574"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3"/>
      <c r="V275" s="1461"/>
      <c r="W275" s="1354"/>
      <c r="X275" s="1555"/>
      <c r="Y275" s="1358"/>
      <c r="Z275" s="1555"/>
      <c r="AA275" s="1358"/>
      <c r="AB275" s="1555"/>
      <c r="AC275" s="1358"/>
      <c r="AD275" s="1555"/>
      <c r="AE275" s="1358"/>
      <c r="AF275" s="1358"/>
      <c r="AG275" s="1358"/>
      <c r="AH275" s="1364"/>
      <c r="AI275" s="1485"/>
      <c r="AJ275" s="1557"/>
      <c r="AK275" s="1585"/>
      <c r="AL275" s="1561"/>
      <c r="AM275" s="1573"/>
      <c r="AN275" s="1575"/>
      <c r="AO275" s="1407"/>
      <c r="AP275" s="1567"/>
      <c r="AQ275" s="1407"/>
      <c r="AR275" s="1587"/>
      <c r="AS275" s="1569"/>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2196</v>
      </c>
      <c r="Q276" s="1507" t="str">
        <f>IFERROR(VLOOKUP('別紙様式2-2（４・５月分）'!AR209,【参考】数式用!$AT$5:$AV$22,3,FALSE),"")</f>
        <v/>
      </c>
      <c r="R276" s="1391" t="s">
        <v>2207</v>
      </c>
      <c r="S276" s="1399" t="str">
        <f>IFERROR(VLOOKUP(K274,【参考】数式用!$A$5:$AB$27,MATCH(Q276,【参考】数式用!$B$4:$AB$4,0)+1,0),"")</f>
        <v/>
      </c>
      <c r="T276" s="1462" t="s">
        <v>2285</v>
      </c>
      <c r="U276" s="1570"/>
      <c r="V276" s="1466" t="str">
        <f>IFERROR(VLOOKUP(K274,【参考】数式用!$A$5:$AB$27,MATCH(U276,【参考】数式用!$B$4:$AB$4,0)+1,0),"")</f>
        <v/>
      </c>
      <c r="W276" s="1468" t="s">
        <v>19</v>
      </c>
      <c r="X276" s="1538"/>
      <c r="Y276" s="1410" t="s">
        <v>10</v>
      </c>
      <c r="Z276" s="1538"/>
      <c r="AA276" s="1410" t="s">
        <v>45</v>
      </c>
      <c r="AB276" s="1538"/>
      <c r="AC276" s="1410" t="s">
        <v>10</v>
      </c>
      <c r="AD276" s="1538"/>
      <c r="AE276" s="1410" t="s">
        <v>2188</v>
      </c>
      <c r="AF276" s="1410" t="s">
        <v>24</v>
      </c>
      <c r="AG276" s="1410" t="str">
        <f>IF(X276&gt;=1,(AB276*12+AD276)-(X276*12+Z276)+1,"")</f>
        <v/>
      </c>
      <c r="AH276" s="1412" t="s">
        <v>38</v>
      </c>
      <c r="AI276" s="1414" t="str">
        <f t="shared" ref="AI276" si="255">IFERROR(ROUNDDOWN(ROUND(L274*V276,0)*M274,0)*AG276,"")</f>
        <v/>
      </c>
      <c r="AJ276" s="1578" t="str">
        <f>IFERROR(ROUNDDOWN(ROUND((L274*(V276-AX274)),0)*M274,0)*AG276,"")</f>
        <v/>
      </c>
      <c r="AK276" s="1497" t="str">
        <f>IFERROR(ROUNDDOWN(ROUNDDOWN(ROUND(L274*VLOOKUP(K274,【参考】数式用!$A$5:$AB$27,MATCH("新加算Ⅳ",【参考】数式用!$B$4:$AB$4,0)+1,0),0)*M274,0)*AG276*0.5,0),"")</f>
        <v/>
      </c>
      <c r="AL276" s="1580"/>
      <c r="AM276" s="1588" t="str">
        <f>IFERROR(IF('別紙様式2-2（４・５月分）'!Q211="ベア加算","", IF(OR(U276="新加算Ⅰ",U276="新加算Ⅱ",U276="新加算Ⅲ",U276="新加算Ⅳ"),ROUNDDOWN(ROUND(L274*VLOOKUP(K274,【参考】数式用!$A$5:$I$27,MATCH("ベア加算",【参考】数式用!$B$4:$I$4,0)+1,0),0)*M274,0)*AG276,"")),"")</f>
        <v/>
      </c>
      <c r="AN276" s="1544"/>
      <c r="AO276" s="1536"/>
      <c r="AP276" s="1548"/>
      <c r="AQ276" s="1536"/>
      <c r="AR276" s="1550"/>
      <c r="AS276" s="1552"/>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71"/>
      <c r="V277" s="1467"/>
      <c r="W277" s="1469"/>
      <c r="X277" s="1539"/>
      <c r="Y277" s="1411"/>
      <c r="Z277" s="1539"/>
      <c r="AA277" s="1411"/>
      <c r="AB277" s="1539"/>
      <c r="AC277" s="1411"/>
      <c r="AD277" s="1539"/>
      <c r="AE277" s="1411"/>
      <c r="AF277" s="1411"/>
      <c r="AG277" s="1411"/>
      <c r="AH277" s="1413"/>
      <c r="AI277" s="1415"/>
      <c r="AJ277" s="1579"/>
      <c r="AK277" s="1498"/>
      <c r="AL277" s="1581"/>
      <c r="AM277" s="1589"/>
      <c r="AN277" s="1545"/>
      <c r="AO277" s="1537"/>
      <c r="AP277" s="1549"/>
      <c r="AQ277" s="1537"/>
      <c r="AR277" s="1551"/>
      <c r="AS277" s="1553"/>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2275</v>
      </c>
      <c r="U278" s="1562" t="str">
        <f>IF('別紙様式2-3（６月以降分）'!U278="","",'別紙様式2-3（６月以降分）'!U278)</f>
        <v/>
      </c>
      <c r="V278" s="1460" t="str">
        <f>IFERROR(VLOOKUP(K278,【参考】数式用!$A$5:$AB$27,MATCH(U278,【参考】数式用!$B$4:$AB$4,0)+1,0),"")</f>
        <v/>
      </c>
      <c r="W278" s="1353" t="s">
        <v>19</v>
      </c>
      <c r="X278" s="1554">
        <f>'別紙様式2-3（６月以降分）'!X278</f>
        <v>6</v>
      </c>
      <c r="Y278" s="1357" t="s">
        <v>10</v>
      </c>
      <c r="Z278" s="1554">
        <f>'別紙様式2-3（６月以降分）'!Z278</f>
        <v>6</v>
      </c>
      <c r="AA278" s="1357" t="s">
        <v>45</v>
      </c>
      <c r="AB278" s="1554">
        <f>'別紙様式2-3（６月以降分）'!AB278</f>
        <v>7</v>
      </c>
      <c r="AC278" s="1357" t="s">
        <v>10</v>
      </c>
      <c r="AD278" s="1554">
        <f>'別紙様式2-3（６月以降分）'!AD278</f>
        <v>3</v>
      </c>
      <c r="AE278" s="1357" t="s">
        <v>2188</v>
      </c>
      <c r="AF278" s="1357" t="s">
        <v>24</v>
      </c>
      <c r="AG278" s="1357">
        <f>IF(X278&gt;=1,(AB278*12+AD278)-(X278*12+Z278)+1,"")</f>
        <v>10</v>
      </c>
      <c r="AH278" s="1363" t="s">
        <v>38</v>
      </c>
      <c r="AI278" s="1484" t="str">
        <f>'別紙様式2-3（６月以降分）'!AI278</f>
        <v/>
      </c>
      <c r="AJ278" s="1556" t="str">
        <f>'別紙様式2-3（６月以降分）'!AJ278</f>
        <v/>
      </c>
      <c r="AK278" s="1584">
        <f>'別紙様式2-3（６月以降分）'!AK278</f>
        <v>0</v>
      </c>
      <c r="AL278" s="1560" t="str">
        <f>IF('別紙様式2-3（６月以降分）'!AL278="","",'別紙様式2-3（６月以降分）'!AL278)</f>
        <v/>
      </c>
      <c r="AM278" s="1572">
        <f>'別紙様式2-3（６月以降分）'!AM278</f>
        <v>0</v>
      </c>
      <c r="AN278" s="1574"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3"/>
      <c r="V279" s="1461"/>
      <c r="W279" s="1354"/>
      <c r="X279" s="1555"/>
      <c r="Y279" s="1358"/>
      <c r="Z279" s="1555"/>
      <c r="AA279" s="1358"/>
      <c r="AB279" s="1555"/>
      <c r="AC279" s="1358"/>
      <c r="AD279" s="1555"/>
      <c r="AE279" s="1358"/>
      <c r="AF279" s="1358"/>
      <c r="AG279" s="1358"/>
      <c r="AH279" s="1364"/>
      <c r="AI279" s="1485"/>
      <c r="AJ279" s="1557"/>
      <c r="AK279" s="1585"/>
      <c r="AL279" s="1561"/>
      <c r="AM279" s="1573"/>
      <c r="AN279" s="1575"/>
      <c r="AO279" s="1407"/>
      <c r="AP279" s="1567"/>
      <c r="AQ279" s="1407"/>
      <c r="AR279" s="1587"/>
      <c r="AS279" s="1569"/>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2196</v>
      </c>
      <c r="Q280" s="1507" t="str">
        <f>IFERROR(VLOOKUP('別紙様式2-2（４・５月分）'!AR212,【参考】数式用!$AT$5:$AV$22,3,FALSE),"")</f>
        <v/>
      </c>
      <c r="R280" s="1391" t="s">
        <v>2207</v>
      </c>
      <c r="S280" s="1397" t="str">
        <f>IFERROR(VLOOKUP(K278,【参考】数式用!$A$5:$AB$27,MATCH(Q280,【参考】数式用!$B$4:$AB$4,0)+1,0),"")</f>
        <v/>
      </c>
      <c r="T280" s="1462" t="s">
        <v>2285</v>
      </c>
      <c r="U280" s="1570"/>
      <c r="V280" s="1466" t="str">
        <f>IFERROR(VLOOKUP(K278,【参考】数式用!$A$5:$AB$27,MATCH(U280,【参考】数式用!$B$4:$AB$4,0)+1,0),"")</f>
        <v/>
      </c>
      <c r="W280" s="1468" t="s">
        <v>19</v>
      </c>
      <c r="X280" s="1538"/>
      <c r="Y280" s="1410" t="s">
        <v>10</v>
      </c>
      <c r="Z280" s="1538"/>
      <c r="AA280" s="1410" t="s">
        <v>45</v>
      </c>
      <c r="AB280" s="1538"/>
      <c r="AC280" s="1410" t="s">
        <v>10</v>
      </c>
      <c r="AD280" s="1538"/>
      <c r="AE280" s="1410" t="s">
        <v>2188</v>
      </c>
      <c r="AF280" s="1410" t="s">
        <v>24</v>
      </c>
      <c r="AG280" s="1410" t="str">
        <f>IF(X280&gt;=1,(AB280*12+AD280)-(X280*12+Z280)+1,"")</f>
        <v/>
      </c>
      <c r="AH280" s="1412" t="s">
        <v>38</v>
      </c>
      <c r="AI280" s="1414" t="str">
        <f t="shared" ref="AI280" si="259">IFERROR(ROUNDDOWN(ROUND(L278*V280,0)*M278,0)*AG280,"")</f>
        <v/>
      </c>
      <c r="AJ280" s="1578" t="str">
        <f>IFERROR(ROUNDDOWN(ROUND((L278*(V280-AX278)),0)*M278,0)*AG280,"")</f>
        <v/>
      </c>
      <c r="AK280" s="1497" t="str">
        <f>IFERROR(ROUNDDOWN(ROUNDDOWN(ROUND(L278*VLOOKUP(K278,【参考】数式用!$A$5:$AB$27,MATCH("新加算Ⅳ",【参考】数式用!$B$4:$AB$4,0)+1,0),0)*M278,0)*AG280*0.5,0),"")</f>
        <v/>
      </c>
      <c r="AL280" s="1580"/>
      <c r="AM280" s="1588" t="str">
        <f>IFERROR(IF('別紙様式2-2（４・５月分）'!Q214="ベア加算","", IF(OR(U280="新加算Ⅰ",U280="新加算Ⅱ",U280="新加算Ⅲ",U280="新加算Ⅳ"),ROUNDDOWN(ROUND(L278*VLOOKUP(K278,【参考】数式用!$A$5:$I$27,MATCH("ベア加算",【参考】数式用!$B$4:$I$4,0)+1,0),0)*M278,0)*AG280,"")),"")</f>
        <v/>
      </c>
      <c r="AN280" s="1544"/>
      <c r="AO280" s="1536"/>
      <c r="AP280" s="1548"/>
      <c r="AQ280" s="1536"/>
      <c r="AR280" s="1550"/>
      <c r="AS280" s="1552"/>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71"/>
      <c r="V281" s="1467"/>
      <c r="W281" s="1469"/>
      <c r="X281" s="1539"/>
      <c r="Y281" s="1411"/>
      <c r="Z281" s="1539"/>
      <c r="AA281" s="1411"/>
      <c r="AB281" s="1539"/>
      <c r="AC281" s="1411"/>
      <c r="AD281" s="1539"/>
      <c r="AE281" s="1411"/>
      <c r="AF281" s="1411"/>
      <c r="AG281" s="1411"/>
      <c r="AH281" s="1413"/>
      <c r="AI281" s="1415"/>
      <c r="AJ281" s="1579"/>
      <c r="AK281" s="1498"/>
      <c r="AL281" s="1581"/>
      <c r="AM281" s="1589"/>
      <c r="AN281" s="1545"/>
      <c r="AO281" s="1537"/>
      <c r="AP281" s="1549"/>
      <c r="AQ281" s="1537"/>
      <c r="AR281" s="1551"/>
      <c r="AS281" s="1553"/>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2275</v>
      </c>
      <c r="U282" s="1562" t="str">
        <f>IF('別紙様式2-3（６月以降分）'!U282="","",'別紙様式2-3（６月以降分）'!U282)</f>
        <v/>
      </c>
      <c r="V282" s="1460" t="str">
        <f>IFERROR(VLOOKUP(K282,【参考】数式用!$A$5:$AB$27,MATCH(U282,【参考】数式用!$B$4:$AB$4,0)+1,0),"")</f>
        <v/>
      </c>
      <c r="W282" s="1353" t="s">
        <v>19</v>
      </c>
      <c r="X282" s="1554">
        <f>'別紙様式2-3（６月以降分）'!X282</f>
        <v>6</v>
      </c>
      <c r="Y282" s="1357" t="s">
        <v>10</v>
      </c>
      <c r="Z282" s="1554">
        <f>'別紙様式2-3（６月以降分）'!Z282</f>
        <v>6</v>
      </c>
      <c r="AA282" s="1357" t="s">
        <v>45</v>
      </c>
      <c r="AB282" s="1554">
        <f>'別紙様式2-3（６月以降分）'!AB282</f>
        <v>7</v>
      </c>
      <c r="AC282" s="1357" t="s">
        <v>10</v>
      </c>
      <c r="AD282" s="1554">
        <f>'別紙様式2-3（６月以降分）'!AD282</f>
        <v>3</v>
      </c>
      <c r="AE282" s="1357" t="s">
        <v>2188</v>
      </c>
      <c r="AF282" s="1357" t="s">
        <v>24</v>
      </c>
      <c r="AG282" s="1357">
        <f>IF(X282&gt;=1,(AB282*12+AD282)-(X282*12+Z282)+1,"")</f>
        <v>10</v>
      </c>
      <c r="AH282" s="1363" t="s">
        <v>38</v>
      </c>
      <c r="AI282" s="1484" t="str">
        <f>'別紙様式2-3（６月以降分）'!AI282</f>
        <v/>
      </c>
      <c r="AJ282" s="1556" t="str">
        <f>'別紙様式2-3（６月以降分）'!AJ282</f>
        <v/>
      </c>
      <c r="AK282" s="1584">
        <f>'別紙様式2-3（６月以降分）'!AK282</f>
        <v>0</v>
      </c>
      <c r="AL282" s="1560" t="str">
        <f>IF('別紙様式2-3（６月以降分）'!AL282="","",'別紙様式2-3（６月以降分）'!AL282)</f>
        <v/>
      </c>
      <c r="AM282" s="1572">
        <f>'別紙様式2-3（６月以降分）'!AM282</f>
        <v>0</v>
      </c>
      <c r="AN282" s="1574"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3"/>
      <c r="V283" s="1461"/>
      <c r="W283" s="1354"/>
      <c r="X283" s="1555"/>
      <c r="Y283" s="1358"/>
      <c r="Z283" s="1555"/>
      <c r="AA283" s="1358"/>
      <c r="AB283" s="1555"/>
      <c r="AC283" s="1358"/>
      <c r="AD283" s="1555"/>
      <c r="AE283" s="1358"/>
      <c r="AF283" s="1358"/>
      <c r="AG283" s="1358"/>
      <c r="AH283" s="1364"/>
      <c r="AI283" s="1485"/>
      <c r="AJ283" s="1557"/>
      <c r="AK283" s="1585"/>
      <c r="AL283" s="1561"/>
      <c r="AM283" s="1573"/>
      <c r="AN283" s="1575"/>
      <c r="AO283" s="1407"/>
      <c r="AP283" s="1567"/>
      <c r="AQ283" s="1407"/>
      <c r="AR283" s="1587"/>
      <c r="AS283" s="1569"/>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2196</v>
      </c>
      <c r="Q284" s="1507" t="str">
        <f>IFERROR(VLOOKUP('別紙様式2-2（４・５月分）'!AR215,【参考】数式用!$AT$5:$AV$22,3,FALSE),"")</f>
        <v/>
      </c>
      <c r="R284" s="1391" t="s">
        <v>2207</v>
      </c>
      <c r="S284" s="1399" t="str">
        <f>IFERROR(VLOOKUP(K282,【参考】数式用!$A$5:$AB$27,MATCH(Q284,【参考】数式用!$B$4:$AB$4,0)+1,0),"")</f>
        <v/>
      </c>
      <c r="T284" s="1462" t="s">
        <v>2285</v>
      </c>
      <c r="U284" s="1570"/>
      <c r="V284" s="1466" t="str">
        <f>IFERROR(VLOOKUP(K282,【参考】数式用!$A$5:$AB$27,MATCH(U284,【参考】数式用!$B$4:$AB$4,0)+1,0),"")</f>
        <v/>
      </c>
      <c r="W284" s="1468" t="s">
        <v>19</v>
      </c>
      <c r="X284" s="1538"/>
      <c r="Y284" s="1410" t="s">
        <v>10</v>
      </c>
      <c r="Z284" s="1538"/>
      <c r="AA284" s="1410" t="s">
        <v>45</v>
      </c>
      <c r="AB284" s="1538"/>
      <c r="AC284" s="1410" t="s">
        <v>10</v>
      </c>
      <c r="AD284" s="1538"/>
      <c r="AE284" s="1410" t="s">
        <v>2188</v>
      </c>
      <c r="AF284" s="1410" t="s">
        <v>24</v>
      </c>
      <c r="AG284" s="1410" t="str">
        <f>IF(X284&gt;=1,(AB284*12+AD284)-(X284*12+Z284)+1,"")</f>
        <v/>
      </c>
      <c r="AH284" s="1412" t="s">
        <v>38</v>
      </c>
      <c r="AI284" s="1414" t="str">
        <f t="shared" ref="AI284" si="263">IFERROR(ROUNDDOWN(ROUND(L282*V284,0)*M282,0)*AG284,"")</f>
        <v/>
      </c>
      <c r="AJ284" s="1578" t="str">
        <f>IFERROR(ROUNDDOWN(ROUND((L282*(V284-AX282)),0)*M282,0)*AG284,"")</f>
        <v/>
      </c>
      <c r="AK284" s="1497" t="str">
        <f>IFERROR(ROUNDDOWN(ROUNDDOWN(ROUND(L282*VLOOKUP(K282,【参考】数式用!$A$5:$AB$27,MATCH("新加算Ⅳ",【参考】数式用!$B$4:$AB$4,0)+1,0),0)*M282,0)*AG284*0.5,0),"")</f>
        <v/>
      </c>
      <c r="AL284" s="1580"/>
      <c r="AM284" s="1588" t="str">
        <f>IFERROR(IF('別紙様式2-2（４・５月分）'!Q217="ベア加算","", IF(OR(U284="新加算Ⅰ",U284="新加算Ⅱ",U284="新加算Ⅲ",U284="新加算Ⅳ"),ROUNDDOWN(ROUND(L282*VLOOKUP(K282,【参考】数式用!$A$5:$I$27,MATCH("ベア加算",【参考】数式用!$B$4:$I$4,0)+1,0),0)*M282,0)*AG284,"")),"")</f>
        <v/>
      </c>
      <c r="AN284" s="1544"/>
      <c r="AO284" s="1536"/>
      <c r="AP284" s="1548"/>
      <c r="AQ284" s="1536"/>
      <c r="AR284" s="1550"/>
      <c r="AS284" s="1552"/>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71"/>
      <c r="V285" s="1467"/>
      <c r="W285" s="1469"/>
      <c r="X285" s="1539"/>
      <c r="Y285" s="1411"/>
      <c r="Z285" s="1539"/>
      <c r="AA285" s="1411"/>
      <c r="AB285" s="1539"/>
      <c r="AC285" s="1411"/>
      <c r="AD285" s="1539"/>
      <c r="AE285" s="1411"/>
      <c r="AF285" s="1411"/>
      <c r="AG285" s="1411"/>
      <c r="AH285" s="1413"/>
      <c r="AI285" s="1415"/>
      <c r="AJ285" s="1579"/>
      <c r="AK285" s="1498"/>
      <c r="AL285" s="1581"/>
      <c r="AM285" s="1589"/>
      <c r="AN285" s="1545"/>
      <c r="AO285" s="1537"/>
      <c r="AP285" s="1549"/>
      <c r="AQ285" s="1537"/>
      <c r="AR285" s="1551"/>
      <c r="AS285" s="1553"/>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2275</v>
      </c>
      <c r="U286" s="1562" t="str">
        <f>IF('別紙様式2-3（６月以降分）'!U286="","",'別紙様式2-3（６月以降分）'!U286)</f>
        <v/>
      </c>
      <c r="V286" s="1460" t="str">
        <f>IFERROR(VLOOKUP(K286,【参考】数式用!$A$5:$AB$27,MATCH(U286,【参考】数式用!$B$4:$AB$4,0)+1,0),"")</f>
        <v/>
      </c>
      <c r="W286" s="1353" t="s">
        <v>19</v>
      </c>
      <c r="X286" s="1554">
        <f>'別紙様式2-3（６月以降分）'!X286</f>
        <v>6</v>
      </c>
      <c r="Y286" s="1357" t="s">
        <v>10</v>
      </c>
      <c r="Z286" s="1554">
        <f>'別紙様式2-3（６月以降分）'!Z286</f>
        <v>6</v>
      </c>
      <c r="AA286" s="1357" t="s">
        <v>45</v>
      </c>
      <c r="AB286" s="1554">
        <f>'別紙様式2-3（６月以降分）'!AB286</f>
        <v>7</v>
      </c>
      <c r="AC286" s="1357" t="s">
        <v>10</v>
      </c>
      <c r="AD286" s="1554">
        <f>'別紙様式2-3（６月以降分）'!AD286</f>
        <v>3</v>
      </c>
      <c r="AE286" s="1357" t="s">
        <v>2188</v>
      </c>
      <c r="AF286" s="1357" t="s">
        <v>24</v>
      </c>
      <c r="AG286" s="1357">
        <f>IF(X286&gt;=1,(AB286*12+AD286)-(X286*12+Z286)+1,"")</f>
        <v>10</v>
      </c>
      <c r="AH286" s="1363" t="s">
        <v>38</v>
      </c>
      <c r="AI286" s="1484" t="str">
        <f>'別紙様式2-3（６月以降分）'!AI286</f>
        <v/>
      </c>
      <c r="AJ286" s="1556" t="str">
        <f>'別紙様式2-3（６月以降分）'!AJ286</f>
        <v/>
      </c>
      <c r="AK286" s="1584">
        <f>'別紙様式2-3（６月以降分）'!AK286</f>
        <v>0</v>
      </c>
      <c r="AL286" s="1560" t="str">
        <f>IF('別紙様式2-3（６月以降分）'!AL286="","",'別紙様式2-3（６月以降分）'!AL286)</f>
        <v/>
      </c>
      <c r="AM286" s="1572">
        <f>'別紙様式2-3（６月以降分）'!AM286</f>
        <v>0</v>
      </c>
      <c r="AN286" s="1574"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3"/>
      <c r="V287" s="1461"/>
      <c r="W287" s="1354"/>
      <c r="X287" s="1555"/>
      <c r="Y287" s="1358"/>
      <c r="Z287" s="1555"/>
      <c r="AA287" s="1358"/>
      <c r="AB287" s="1555"/>
      <c r="AC287" s="1358"/>
      <c r="AD287" s="1555"/>
      <c r="AE287" s="1358"/>
      <c r="AF287" s="1358"/>
      <c r="AG287" s="1358"/>
      <c r="AH287" s="1364"/>
      <c r="AI287" s="1485"/>
      <c r="AJ287" s="1557"/>
      <c r="AK287" s="1585"/>
      <c r="AL287" s="1561"/>
      <c r="AM287" s="1573"/>
      <c r="AN287" s="1575"/>
      <c r="AO287" s="1407"/>
      <c r="AP287" s="1567"/>
      <c r="AQ287" s="1407"/>
      <c r="AR287" s="1587"/>
      <c r="AS287" s="1569"/>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2196</v>
      </c>
      <c r="Q288" s="1507" t="str">
        <f>IFERROR(VLOOKUP('別紙様式2-2（４・５月分）'!AR218,【参考】数式用!$AT$5:$AV$22,3,FALSE),"")</f>
        <v/>
      </c>
      <c r="R288" s="1391" t="s">
        <v>2207</v>
      </c>
      <c r="S288" s="1397" t="str">
        <f>IFERROR(VLOOKUP(K286,【参考】数式用!$A$5:$AB$27,MATCH(Q288,【参考】数式用!$B$4:$AB$4,0)+1,0),"")</f>
        <v/>
      </c>
      <c r="T288" s="1462" t="s">
        <v>2285</v>
      </c>
      <c r="U288" s="1570"/>
      <c r="V288" s="1466" t="str">
        <f>IFERROR(VLOOKUP(K286,【参考】数式用!$A$5:$AB$27,MATCH(U288,【参考】数式用!$B$4:$AB$4,0)+1,0),"")</f>
        <v/>
      </c>
      <c r="W288" s="1468" t="s">
        <v>19</v>
      </c>
      <c r="X288" s="1538"/>
      <c r="Y288" s="1410" t="s">
        <v>10</v>
      </c>
      <c r="Z288" s="1538"/>
      <c r="AA288" s="1410" t="s">
        <v>45</v>
      </c>
      <c r="AB288" s="1538"/>
      <c r="AC288" s="1410" t="s">
        <v>10</v>
      </c>
      <c r="AD288" s="1538"/>
      <c r="AE288" s="1410" t="s">
        <v>2188</v>
      </c>
      <c r="AF288" s="1410" t="s">
        <v>24</v>
      </c>
      <c r="AG288" s="1410" t="str">
        <f>IF(X288&gt;=1,(AB288*12+AD288)-(X288*12+Z288)+1,"")</f>
        <v/>
      </c>
      <c r="AH288" s="1412" t="s">
        <v>38</v>
      </c>
      <c r="AI288" s="1414" t="str">
        <f t="shared" ref="AI288" si="267">IFERROR(ROUNDDOWN(ROUND(L286*V288,0)*M286,0)*AG288,"")</f>
        <v/>
      </c>
      <c r="AJ288" s="1578" t="str">
        <f>IFERROR(ROUNDDOWN(ROUND((L286*(V288-AX286)),0)*M286,0)*AG288,"")</f>
        <v/>
      </c>
      <c r="AK288" s="1497" t="str">
        <f>IFERROR(ROUNDDOWN(ROUNDDOWN(ROUND(L286*VLOOKUP(K286,【参考】数式用!$A$5:$AB$27,MATCH("新加算Ⅳ",【参考】数式用!$B$4:$AB$4,0)+1,0),0)*M286,0)*AG288*0.5,0),"")</f>
        <v/>
      </c>
      <c r="AL288" s="1580"/>
      <c r="AM288" s="1588" t="str">
        <f>IFERROR(IF('別紙様式2-2（４・５月分）'!Q220="ベア加算","", IF(OR(U288="新加算Ⅰ",U288="新加算Ⅱ",U288="新加算Ⅲ",U288="新加算Ⅳ"),ROUNDDOWN(ROUND(L286*VLOOKUP(K286,【参考】数式用!$A$5:$I$27,MATCH("ベア加算",【参考】数式用!$B$4:$I$4,0)+1,0),0)*M286,0)*AG288,"")),"")</f>
        <v/>
      </c>
      <c r="AN288" s="1544"/>
      <c r="AO288" s="1536"/>
      <c r="AP288" s="1548"/>
      <c r="AQ288" s="1536"/>
      <c r="AR288" s="1550"/>
      <c r="AS288" s="1552"/>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71"/>
      <c r="V289" s="1467"/>
      <c r="W289" s="1469"/>
      <c r="X289" s="1539"/>
      <c r="Y289" s="1411"/>
      <c r="Z289" s="1539"/>
      <c r="AA289" s="1411"/>
      <c r="AB289" s="1539"/>
      <c r="AC289" s="1411"/>
      <c r="AD289" s="1539"/>
      <c r="AE289" s="1411"/>
      <c r="AF289" s="1411"/>
      <c r="AG289" s="1411"/>
      <c r="AH289" s="1413"/>
      <c r="AI289" s="1415"/>
      <c r="AJ289" s="1579"/>
      <c r="AK289" s="1498"/>
      <c r="AL289" s="1581"/>
      <c r="AM289" s="1589"/>
      <c r="AN289" s="1545"/>
      <c r="AO289" s="1537"/>
      <c r="AP289" s="1549"/>
      <c r="AQ289" s="1537"/>
      <c r="AR289" s="1551"/>
      <c r="AS289" s="1553"/>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2275</v>
      </c>
      <c r="U290" s="1562" t="str">
        <f>IF('別紙様式2-3（６月以降分）'!U290="","",'別紙様式2-3（６月以降分）'!U290)</f>
        <v/>
      </c>
      <c r="V290" s="1460" t="str">
        <f>IFERROR(VLOOKUP(K290,【参考】数式用!$A$5:$AB$27,MATCH(U290,【参考】数式用!$B$4:$AB$4,0)+1,0),"")</f>
        <v/>
      </c>
      <c r="W290" s="1353" t="s">
        <v>19</v>
      </c>
      <c r="X290" s="1554">
        <f>'別紙様式2-3（６月以降分）'!X290</f>
        <v>6</v>
      </c>
      <c r="Y290" s="1357" t="s">
        <v>10</v>
      </c>
      <c r="Z290" s="1554">
        <f>'別紙様式2-3（６月以降分）'!Z290</f>
        <v>6</v>
      </c>
      <c r="AA290" s="1357" t="s">
        <v>45</v>
      </c>
      <c r="AB290" s="1554">
        <f>'別紙様式2-3（６月以降分）'!AB290</f>
        <v>7</v>
      </c>
      <c r="AC290" s="1357" t="s">
        <v>10</v>
      </c>
      <c r="AD290" s="1554">
        <f>'別紙様式2-3（６月以降分）'!AD290</f>
        <v>3</v>
      </c>
      <c r="AE290" s="1357" t="s">
        <v>2188</v>
      </c>
      <c r="AF290" s="1357" t="s">
        <v>24</v>
      </c>
      <c r="AG290" s="1357">
        <f>IF(X290&gt;=1,(AB290*12+AD290)-(X290*12+Z290)+1,"")</f>
        <v>10</v>
      </c>
      <c r="AH290" s="1363" t="s">
        <v>38</v>
      </c>
      <c r="AI290" s="1484" t="str">
        <f>'別紙様式2-3（６月以降分）'!AI290</f>
        <v/>
      </c>
      <c r="AJ290" s="1556" t="str">
        <f>'別紙様式2-3（６月以降分）'!AJ290</f>
        <v/>
      </c>
      <c r="AK290" s="1584">
        <f>'別紙様式2-3（６月以降分）'!AK290</f>
        <v>0</v>
      </c>
      <c r="AL290" s="1560" t="str">
        <f>IF('別紙様式2-3（６月以降分）'!AL290="","",'別紙様式2-3（６月以降分）'!AL290)</f>
        <v/>
      </c>
      <c r="AM290" s="1572">
        <f>'別紙様式2-3（６月以降分）'!AM290</f>
        <v>0</v>
      </c>
      <c r="AN290" s="1574"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3"/>
      <c r="V291" s="1461"/>
      <c r="W291" s="1354"/>
      <c r="X291" s="1555"/>
      <c r="Y291" s="1358"/>
      <c r="Z291" s="1555"/>
      <c r="AA291" s="1358"/>
      <c r="AB291" s="1555"/>
      <c r="AC291" s="1358"/>
      <c r="AD291" s="1555"/>
      <c r="AE291" s="1358"/>
      <c r="AF291" s="1358"/>
      <c r="AG291" s="1358"/>
      <c r="AH291" s="1364"/>
      <c r="AI291" s="1485"/>
      <c r="AJ291" s="1557"/>
      <c r="AK291" s="1585"/>
      <c r="AL291" s="1561"/>
      <c r="AM291" s="1573"/>
      <c r="AN291" s="1575"/>
      <c r="AO291" s="1407"/>
      <c r="AP291" s="1567"/>
      <c r="AQ291" s="1407"/>
      <c r="AR291" s="1587"/>
      <c r="AS291" s="1569"/>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2196</v>
      </c>
      <c r="Q292" s="1507" t="str">
        <f>IFERROR(VLOOKUP('別紙様式2-2（４・５月分）'!AR221,【参考】数式用!$AT$5:$AV$22,3,FALSE),"")</f>
        <v/>
      </c>
      <c r="R292" s="1391" t="s">
        <v>2207</v>
      </c>
      <c r="S292" s="1399" t="str">
        <f>IFERROR(VLOOKUP(K290,【参考】数式用!$A$5:$AB$27,MATCH(Q292,【参考】数式用!$B$4:$AB$4,0)+1,0),"")</f>
        <v/>
      </c>
      <c r="T292" s="1462" t="s">
        <v>2285</v>
      </c>
      <c r="U292" s="1570"/>
      <c r="V292" s="1466" t="str">
        <f>IFERROR(VLOOKUP(K290,【参考】数式用!$A$5:$AB$27,MATCH(U292,【参考】数式用!$B$4:$AB$4,0)+1,0),"")</f>
        <v/>
      </c>
      <c r="W292" s="1468" t="s">
        <v>19</v>
      </c>
      <c r="X292" s="1538"/>
      <c r="Y292" s="1410" t="s">
        <v>10</v>
      </c>
      <c r="Z292" s="1538"/>
      <c r="AA292" s="1410" t="s">
        <v>45</v>
      </c>
      <c r="AB292" s="1538"/>
      <c r="AC292" s="1410" t="s">
        <v>10</v>
      </c>
      <c r="AD292" s="1538"/>
      <c r="AE292" s="1410" t="s">
        <v>2188</v>
      </c>
      <c r="AF292" s="1410" t="s">
        <v>24</v>
      </c>
      <c r="AG292" s="1410" t="str">
        <f>IF(X292&gt;=1,(AB292*12+AD292)-(X292*12+Z292)+1,"")</f>
        <v/>
      </c>
      <c r="AH292" s="1412" t="s">
        <v>38</v>
      </c>
      <c r="AI292" s="1414" t="str">
        <f t="shared" ref="AI292" si="271">IFERROR(ROUNDDOWN(ROUND(L290*V292,0)*M290,0)*AG292,"")</f>
        <v/>
      </c>
      <c r="AJ292" s="1578" t="str">
        <f>IFERROR(ROUNDDOWN(ROUND((L290*(V292-AX290)),0)*M290,0)*AG292,"")</f>
        <v/>
      </c>
      <c r="AK292" s="1497" t="str">
        <f>IFERROR(ROUNDDOWN(ROUNDDOWN(ROUND(L290*VLOOKUP(K290,【参考】数式用!$A$5:$AB$27,MATCH("新加算Ⅳ",【参考】数式用!$B$4:$AB$4,0)+1,0),0)*M290,0)*AG292*0.5,0),"")</f>
        <v/>
      </c>
      <c r="AL292" s="1580"/>
      <c r="AM292" s="1588" t="str">
        <f>IFERROR(IF('別紙様式2-2（４・５月分）'!Q223="ベア加算","", IF(OR(U292="新加算Ⅰ",U292="新加算Ⅱ",U292="新加算Ⅲ",U292="新加算Ⅳ"),ROUNDDOWN(ROUND(L290*VLOOKUP(K290,【参考】数式用!$A$5:$I$27,MATCH("ベア加算",【参考】数式用!$B$4:$I$4,0)+1,0),0)*M290,0)*AG292,"")),"")</f>
        <v/>
      </c>
      <c r="AN292" s="1544"/>
      <c r="AO292" s="1536"/>
      <c r="AP292" s="1548"/>
      <c r="AQ292" s="1536"/>
      <c r="AR292" s="1550"/>
      <c r="AS292" s="1552"/>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71"/>
      <c r="V293" s="1467"/>
      <c r="W293" s="1469"/>
      <c r="X293" s="1539"/>
      <c r="Y293" s="1411"/>
      <c r="Z293" s="1539"/>
      <c r="AA293" s="1411"/>
      <c r="AB293" s="1539"/>
      <c r="AC293" s="1411"/>
      <c r="AD293" s="1539"/>
      <c r="AE293" s="1411"/>
      <c r="AF293" s="1411"/>
      <c r="AG293" s="1411"/>
      <c r="AH293" s="1413"/>
      <c r="AI293" s="1415"/>
      <c r="AJ293" s="1579"/>
      <c r="AK293" s="1498"/>
      <c r="AL293" s="1581"/>
      <c r="AM293" s="1589"/>
      <c r="AN293" s="1545"/>
      <c r="AO293" s="1537"/>
      <c r="AP293" s="1549"/>
      <c r="AQ293" s="1537"/>
      <c r="AR293" s="1551"/>
      <c r="AS293" s="1553"/>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2275</v>
      </c>
      <c r="U294" s="1562" t="str">
        <f>IF('別紙様式2-3（６月以降分）'!U294="","",'別紙様式2-3（６月以降分）'!U294)</f>
        <v/>
      </c>
      <c r="V294" s="1460" t="str">
        <f>IFERROR(VLOOKUP(K294,【参考】数式用!$A$5:$AB$27,MATCH(U294,【参考】数式用!$B$4:$AB$4,0)+1,0),"")</f>
        <v/>
      </c>
      <c r="W294" s="1353" t="s">
        <v>19</v>
      </c>
      <c r="X294" s="1554">
        <f>'別紙様式2-3（６月以降分）'!X294</f>
        <v>6</v>
      </c>
      <c r="Y294" s="1357" t="s">
        <v>10</v>
      </c>
      <c r="Z294" s="1554">
        <f>'別紙様式2-3（６月以降分）'!Z294</f>
        <v>6</v>
      </c>
      <c r="AA294" s="1357" t="s">
        <v>45</v>
      </c>
      <c r="AB294" s="1554">
        <f>'別紙様式2-3（６月以降分）'!AB294</f>
        <v>7</v>
      </c>
      <c r="AC294" s="1357" t="s">
        <v>10</v>
      </c>
      <c r="AD294" s="1554">
        <f>'別紙様式2-3（６月以降分）'!AD294</f>
        <v>3</v>
      </c>
      <c r="AE294" s="1357" t="s">
        <v>2188</v>
      </c>
      <c r="AF294" s="1357" t="s">
        <v>24</v>
      </c>
      <c r="AG294" s="1357">
        <f>IF(X294&gt;=1,(AB294*12+AD294)-(X294*12+Z294)+1,"")</f>
        <v>10</v>
      </c>
      <c r="AH294" s="1363" t="s">
        <v>38</v>
      </c>
      <c r="AI294" s="1484" t="str">
        <f>'別紙様式2-3（６月以降分）'!AI294</f>
        <v/>
      </c>
      <c r="AJ294" s="1556" t="str">
        <f>'別紙様式2-3（６月以降分）'!AJ294</f>
        <v/>
      </c>
      <c r="AK294" s="1584">
        <f>'別紙様式2-3（６月以降分）'!AK294</f>
        <v>0</v>
      </c>
      <c r="AL294" s="1560" t="str">
        <f>IF('別紙様式2-3（６月以降分）'!AL294="","",'別紙様式2-3（６月以降分）'!AL294)</f>
        <v/>
      </c>
      <c r="AM294" s="1572">
        <f>'別紙様式2-3（６月以降分）'!AM294</f>
        <v>0</v>
      </c>
      <c r="AN294" s="1574"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3"/>
      <c r="V295" s="1461"/>
      <c r="W295" s="1354"/>
      <c r="X295" s="1555"/>
      <c r="Y295" s="1358"/>
      <c r="Z295" s="1555"/>
      <c r="AA295" s="1358"/>
      <c r="AB295" s="1555"/>
      <c r="AC295" s="1358"/>
      <c r="AD295" s="1555"/>
      <c r="AE295" s="1358"/>
      <c r="AF295" s="1358"/>
      <c r="AG295" s="1358"/>
      <c r="AH295" s="1364"/>
      <c r="AI295" s="1485"/>
      <c r="AJ295" s="1557"/>
      <c r="AK295" s="1585"/>
      <c r="AL295" s="1561"/>
      <c r="AM295" s="1573"/>
      <c r="AN295" s="1575"/>
      <c r="AO295" s="1407"/>
      <c r="AP295" s="1567"/>
      <c r="AQ295" s="1407"/>
      <c r="AR295" s="1587"/>
      <c r="AS295" s="1569"/>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2196</v>
      </c>
      <c r="Q296" s="1507" t="str">
        <f>IFERROR(VLOOKUP('別紙様式2-2（４・５月分）'!AR224,【参考】数式用!$AT$5:$AV$22,3,FALSE),"")</f>
        <v/>
      </c>
      <c r="R296" s="1391" t="s">
        <v>2207</v>
      </c>
      <c r="S296" s="1397" t="str">
        <f>IFERROR(VLOOKUP(K294,【参考】数式用!$A$5:$AB$27,MATCH(Q296,【参考】数式用!$B$4:$AB$4,0)+1,0),"")</f>
        <v/>
      </c>
      <c r="T296" s="1462" t="s">
        <v>2285</v>
      </c>
      <c r="U296" s="1570"/>
      <c r="V296" s="1466" t="str">
        <f>IFERROR(VLOOKUP(K294,【参考】数式用!$A$5:$AB$27,MATCH(U296,【参考】数式用!$B$4:$AB$4,0)+1,0),"")</f>
        <v/>
      </c>
      <c r="W296" s="1468" t="s">
        <v>19</v>
      </c>
      <c r="X296" s="1538"/>
      <c r="Y296" s="1410" t="s">
        <v>10</v>
      </c>
      <c r="Z296" s="1538"/>
      <c r="AA296" s="1410" t="s">
        <v>45</v>
      </c>
      <c r="AB296" s="1538"/>
      <c r="AC296" s="1410" t="s">
        <v>10</v>
      </c>
      <c r="AD296" s="1538"/>
      <c r="AE296" s="1410" t="s">
        <v>2188</v>
      </c>
      <c r="AF296" s="1410" t="s">
        <v>24</v>
      </c>
      <c r="AG296" s="1410" t="str">
        <f>IF(X296&gt;=1,(AB296*12+AD296)-(X296*12+Z296)+1,"")</f>
        <v/>
      </c>
      <c r="AH296" s="1412" t="s">
        <v>38</v>
      </c>
      <c r="AI296" s="1414" t="str">
        <f t="shared" ref="AI296" si="275">IFERROR(ROUNDDOWN(ROUND(L294*V296,0)*M294,0)*AG296,"")</f>
        <v/>
      </c>
      <c r="AJ296" s="1578" t="str">
        <f>IFERROR(ROUNDDOWN(ROUND((L294*(V296-AX294)),0)*M294,0)*AG296,"")</f>
        <v/>
      </c>
      <c r="AK296" s="1497" t="str">
        <f>IFERROR(ROUNDDOWN(ROUNDDOWN(ROUND(L294*VLOOKUP(K294,【参考】数式用!$A$5:$AB$27,MATCH("新加算Ⅳ",【参考】数式用!$B$4:$AB$4,0)+1,0),0)*M294,0)*AG296*0.5,0),"")</f>
        <v/>
      </c>
      <c r="AL296" s="1580"/>
      <c r="AM296" s="1588" t="str">
        <f>IFERROR(IF('別紙様式2-2（４・５月分）'!Q226="ベア加算","", IF(OR(U296="新加算Ⅰ",U296="新加算Ⅱ",U296="新加算Ⅲ",U296="新加算Ⅳ"),ROUNDDOWN(ROUND(L294*VLOOKUP(K294,【参考】数式用!$A$5:$I$27,MATCH("ベア加算",【参考】数式用!$B$4:$I$4,0)+1,0),0)*M294,0)*AG296,"")),"")</f>
        <v/>
      </c>
      <c r="AN296" s="1544"/>
      <c r="AO296" s="1536"/>
      <c r="AP296" s="1548"/>
      <c r="AQ296" s="1536"/>
      <c r="AR296" s="1550"/>
      <c r="AS296" s="1552"/>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71"/>
      <c r="V297" s="1467"/>
      <c r="W297" s="1469"/>
      <c r="X297" s="1539"/>
      <c r="Y297" s="1411"/>
      <c r="Z297" s="1539"/>
      <c r="AA297" s="1411"/>
      <c r="AB297" s="1539"/>
      <c r="AC297" s="1411"/>
      <c r="AD297" s="1539"/>
      <c r="AE297" s="1411"/>
      <c r="AF297" s="1411"/>
      <c r="AG297" s="1411"/>
      <c r="AH297" s="1413"/>
      <c r="AI297" s="1415"/>
      <c r="AJ297" s="1579"/>
      <c r="AK297" s="1498"/>
      <c r="AL297" s="1581"/>
      <c r="AM297" s="1589"/>
      <c r="AN297" s="1545"/>
      <c r="AO297" s="1537"/>
      <c r="AP297" s="1549"/>
      <c r="AQ297" s="1537"/>
      <c r="AR297" s="1551"/>
      <c r="AS297" s="1553"/>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2275</v>
      </c>
      <c r="U298" s="1562" t="str">
        <f>IF('別紙様式2-3（６月以降分）'!U298="","",'別紙様式2-3（６月以降分）'!U298)</f>
        <v/>
      </c>
      <c r="V298" s="1460" t="str">
        <f>IFERROR(VLOOKUP(K298,【参考】数式用!$A$5:$AB$27,MATCH(U298,【参考】数式用!$B$4:$AB$4,0)+1,0),"")</f>
        <v/>
      </c>
      <c r="W298" s="1353" t="s">
        <v>19</v>
      </c>
      <c r="X298" s="1554">
        <f>'別紙様式2-3（６月以降分）'!X298</f>
        <v>6</v>
      </c>
      <c r="Y298" s="1357" t="s">
        <v>10</v>
      </c>
      <c r="Z298" s="1554">
        <f>'別紙様式2-3（６月以降分）'!Z298</f>
        <v>6</v>
      </c>
      <c r="AA298" s="1357" t="s">
        <v>45</v>
      </c>
      <c r="AB298" s="1554">
        <f>'別紙様式2-3（６月以降分）'!AB298</f>
        <v>7</v>
      </c>
      <c r="AC298" s="1357" t="s">
        <v>10</v>
      </c>
      <c r="AD298" s="1554">
        <f>'別紙様式2-3（６月以降分）'!AD298</f>
        <v>3</v>
      </c>
      <c r="AE298" s="1357" t="s">
        <v>2188</v>
      </c>
      <c r="AF298" s="1357" t="s">
        <v>24</v>
      </c>
      <c r="AG298" s="1357">
        <f>IF(X298&gt;=1,(AB298*12+AD298)-(X298*12+Z298)+1,"")</f>
        <v>10</v>
      </c>
      <c r="AH298" s="1363" t="s">
        <v>38</v>
      </c>
      <c r="AI298" s="1484" t="str">
        <f>'別紙様式2-3（６月以降分）'!AI298</f>
        <v/>
      </c>
      <c r="AJ298" s="1556" t="str">
        <f>'別紙様式2-3（６月以降分）'!AJ298</f>
        <v/>
      </c>
      <c r="AK298" s="1584">
        <f>'別紙様式2-3（６月以降分）'!AK298</f>
        <v>0</v>
      </c>
      <c r="AL298" s="1560" t="str">
        <f>IF('別紙様式2-3（６月以降分）'!AL298="","",'別紙様式2-3（６月以降分）'!AL298)</f>
        <v/>
      </c>
      <c r="AM298" s="1572">
        <f>'別紙様式2-3（６月以降分）'!AM298</f>
        <v>0</v>
      </c>
      <c r="AN298" s="1574"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3"/>
      <c r="V299" s="1461"/>
      <c r="W299" s="1354"/>
      <c r="X299" s="1555"/>
      <c r="Y299" s="1358"/>
      <c r="Z299" s="1555"/>
      <c r="AA299" s="1358"/>
      <c r="AB299" s="1555"/>
      <c r="AC299" s="1358"/>
      <c r="AD299" s="1555"/>
      <c r="AE299" s="1358"/>
      <c r="AF299" s="1358"/>
      <c r="AG299" s="1358"/>
      <c r="AH299" s="1364"/>
      <c r="AI299" s="1485"/>
      <c r="AJ299" s="1557"/>
      <c r="AK299" s="1585"/>
      <c r="AL299" s="1561"/>
      <c r="AM299" s="1573"/>
      <c r="AN299" s="1575"/>
      <c r="AO299" s="1407"/>
      <c r="AP299" s="1567"/>
      <c r="AQ299" s="1407"/>
      <c r="AR299" s="1587"/>
      <c r="AS299" s="1569"/>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2196</v>
      </c>
      <c r="Q300" s="1507" t="str">
        <f>IFERROR(VLOOKUP('別紙様式2-2（４・５月分）'!AR227,【参考】数式用!$AT$5:$AV$22,3,FALSE),"")</f>
        <v/>
      </c>
      <c r="R300" s="1391" t="s">
        <v>2207</v>
      </c>
      <c r="S300" s="1399" t="str">
        <f>IFERROR(VLOOKUP(K298,【参考】数式用!$A$5:$AB$27,MATCH(Q300,【参考】数式用!$B$4:$AB$4,0)+1,0),"")</f>
        <v/>
      </c>
      <c r="T300" s="1462" t="s">
        <v>2285</v>
      </c>
      <c r="U300" s="1570"/>
      <c r="V300" s="1466" t="str">
        <f>IFERROR(VLOOKUP(K298,【参考】数式用!$A$5:$AB$27,MATCH(U300,【参考】数式用!$B$4:$AB$4,0)+1,0),"")</f>
        <v/>
      </c>
      <c r="W300" s="1468" t="s">
        <v>19</v>
      </c>
      <c r="X300" s="1538"/>
      <c r="Y300" s="1410" t="s">
        <v>10</v>
      </c>
      <c r="Z300" s="1538"/>
      <c r="AA300" s="1410" t="s">
        <v>45</v>
      </c>
      <c r="AB300" s="1538"/>
      <c r="AC300" s="1410" t="s">
        <v>10</v>
      </c>
      <c r="AD300" s="1538"/>
      <c r="AE300" s="1410" t="s">
        <v>2188</v>
      </c>
      <c r="AF300" s="1410" t="s">
        <v>24</v>
      </c>
      <c r="AG300" s="1410" t="str">
        <f>IF(X300&gt;=1,(AB300*12+AD300)-(X300*12+Z300)+1,"")</f>
        <v/>
      </c>
      <c r="AH300" s="1412" t="s">
        <v>38</v>
      </c>
      <c r="AI300" s="1414" t="str">
        <f t="shared" ref="AI300" si="279">IFERROR(ROUNDDOWN(ROUND(L298*V300,0)*M298,0)*AG300,"")</f>
        <v/>
      </c>
      <c r="AJ300" s="1578" t="str">
        <f>IFERROR(ROUNDDOWN(ROUND((L298*(V300-AX298)),0)*M298,0)*AG300,"")</f>
        <v/>
      </c>
      <c r="AK300" s="1497" t="str">
        <f>IFERROR(ROUNDDOWN(ROUNDDOWN(ROUND(L298*VLOOKUP(K298,【参考】数式用!$A$5:$AB$27,MATCH("新加算Ⅳ",【参考】数式用!$B$4:$AB$4,0)+1,0),0)*M298,0)*AG300*0.5,0),"")</f>
        <v/>
      </c>
      <c r="AL300" s="1580"/>
      <c r="AM300" s="1588" t="str">
        <f>IFERROR(IF('別紙様式2-2（４・５月分）'!Q229="ベア加算","", IF(OR(U300="新加算Ⅰ",U300="新加算Ⅱ",U300="新加算Ⅲ",U300="新加算Ⅳ"),ROUNDDOWN(ROUND(L298*VLOOKUP(K298,【参考】数式用!$A$5:$I$27,MATCH("ベア加算",【参考】数式用!$B$4:$I$4,0)+1,0),0)*M298,0)*AG300,"")),"")</f>
        <v/>
      </c>
      <c r="AN300" s="1544"/>
      <c r="AO300" s="1536"/>
      <c r="AP300" s="1548"/>
      <c r="AQ300" s="1536"/>
      <c r="AR300" s="1550"/>
      <c r="AS300" s="1552"/>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71"/>
      <c r="V301" s="1467"/>
      <c r="W301" s="1469"/>
      <c r="X301" s="1539"/>
      <c r="Y301" s="1411"/>
      <c r="Z301" s="1539"/>
      <c r="AA301" s="1411"/>
      <c r="AB301" s="1539"/>
      <c r="AC301" s="1411"/>
      <c r="AD301" s="1539"/>
      <c r="AE301" s="1411"/>
      <c r="AF301" s="1411"/>
      <c r="AG301" s="1411"/>
      <c r="AH301" s="1413"/>
      <c r="AI301" s="1415"/>
      <c r="AJ301" s="1579"/>
      <c r="AK301" s="1498"/>
      <c r="AL301" s="1581"/>
      <c r="AM301" s="1589"/>
      <c r="AN301" s="1545"/>
      <c r="AO301" s="1537"/>
      <c r="AP301" s="1549"/>
      <c r="AQ301" s="1537"/>
      <c r="AR301" s="1551"/>
      <c r="AS301" s="1553"/>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2275</v>
      </c>
      <c r="U302" s="1562" t="str">
        <f>IF('別紙様式2-3（６月以降分）'!U302="","",'別紙様式2-3（６月以降分）'!U302)</f>
        <v/>
      </c>
      <c r="V302" s="1460" t="str">
        <f>IFERROR(VLOOKUP(K302,【参考】数式用!$A$5:$AB$27,MATCH(U302,【参考】数式用!$B$4:$AB$4,0)+1,0),"")</f>
        <v/>
      </c>
      <c r="W302" s="1353" t="s">
        <v>19</v>
      </c>
      <c r="X302" s="1554">
        <f>'別紙様式2-3（６月以降分）'!X302</f>
        <v>6</v>
      </c>
      <c r="Y302" s="1357" t="s">
        <v>10</v>
      </c>
      <c r="Z302" s="1554">
        <f>'別紙様式2-3（６月以降分）'!Z302</f>
        <v>6</v>
      </c>
      <c r="AA302" s="1357" t="s">
        <v>45</v>
      </c>
      <c r="AB302" s="1554">
        <f>'別紙様式2-3（６月以降分）'!AB302</f>
        <v>7</v>
      </c>
      <c r="AC302" s="1357" t="s">
        <v>10</v>
      </c>
      <c r="AD302" s="1554">
        <f>'別紙様式2-3（６月以降分）'!AD302</f>
        <v>3</v>
      </c>
      <c r="AE302" s="1357" t="s">
        <v>2188</v>
      </c>
      <c r="AF302" s="1357" t="s">
        <v>24</v>
      </c>
      <c r="AG302" s="1357">
        <f>IF(X302&gt;=1,(AB302*12+AD302)-(X302*12+Z302)+1,"")</f>
        <v>10</v>
      </c>
      <c r="AH302" s="1363" t="s">
        <v>38</v>
      </c>
      <c r="AI302" s="1484" t="str">
        <f>'別紙様式2-3（６月以降分）'!AI302</f>
        <v/>
      </c>
      <c r="AJ302" s="1556" t="str">
        <f>'別紙様式2-3（６月以降分）'!AJ302</f>
        <v/>
      </c>
      <c r="AK302" s="1584">
        <f>'別紙様式2-3（６月以降分）'!AK302</f>
        <v>0</v>
      </c>
      <c r="AL302" s="1560" t="str">
        <f>IF('別紙様式2-3（６月以降分）'!AL302="","",'別紙様式2-3（６月以降分）'!AL302)</f>
        <v/>
      </c>
      <c r="AM302" s="1572">
        <f>'別紙様式2-3（６月以降分）'!AM302</f>
        <v>0</v>
      </c>
      <c r="AN302" s="1574"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3"/>
      <c r="V303" s="1461"/>
      <c r="W303" s="1354"/>
      <c r="X303" s="1555"/>
      <c r="Y303" s="1358"/>
      <c r="Z303" s="1555"/>
      <c r="AA303" s="1358"/>
      <c r="AB303" s="1555"/>
      <c r="AC303" s="1358"/>
      <c r="AD303" s="1555"/>
      <c r="AE303" s="1358"/>
      <c r="AF303" s="1358"/>
      <c r="AG303" s="1358"/>
      <c r="AH303" s="1364"/>
      <c r="AI303" s="1485"/>
      <c r="AJ303" s="1557"/>
      <c r="AK303" s="1585"/>
      <c r="AL303" s="1561"/>
      <c r="AM303" s="1573"/>
      <c r="AN303" s="1575"/>
      <c r="AO303" s="1407"/>
      <c r="AP303" s="1567"/>
      <c r="AQ303" s="1407"/>
      <c r="AR303" s="1587"/>
      <c r="AS303" s="1569"/>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2196</v>
      </c>
      <c r="Q304" s="1507" t="str">
        <f>IFERROR(VLOOKUP('別紙様式2-2（４・５月分）'!AR230,【参考】数式用!$AT$5:$AV$22,3,FALSE),"")</f>
        <v/>
      </c>
      <c r="R304" s="1391" t="s">
        <v>2207</v>
      </c>
      <c r="S304" s="1397" t="str">
        <f>IFERROR(VLOOKUP(K302,【参考】数式用!$A$5:$AB$27,MATCH(Q304,【参考】数式用!$B$4:$AB$4,0)+1,0),"")</f>
        <v/>
      </c>
      <c r="T304" s="1462" t="s">
        <v>2285</v>
      </c>
      <c r="U304" s="1570"/>
      <c r="V304" s="1466" t="str">
        <f>IFERROR(VLOOKUP(K302,【参考】数式用!$A$5:$AB$27,MATCH(U304,【参考】数式用!$B$4:$AB$4,0)+1,0),"")</f>
        <v/>
      </c>
      <c r="W304" s="1468" t="s">
        <v>19</v>
      </c>
      <c r="X304" s="1538"/>
      <c r="Y304" s="1410" t="s">
        <v>10</v>
      </c>
      <c r="Z304" s="1538"/>
      <c r="AA304" s="1410" t="s">
        <v>45</v>
      </c>
      <c r="AB304" s="1538"/>
      <c r="AC304" s="1410" t="s">
        <v>10</v>
      </c>
      <c r="AD304" s="1538"/>
      <c r="AE304" s="1410" t="s">
        <v>2188</v>
      </c>
      <c r="AF304" s="1410" t="s">
        <v>24</v>
      </c>
      <c r="AG304" s="1410" t="str">
        <f>IF(X304&gt;=1,(AB304*12+AD304)-(X304*12+Z304)+1,"")</f>
        <v/>
      </c>
      <c r="AH304" s="1412" t="s">
        <v>38</v>
      </c>
      <c r="AI304" s="1414" t="str">
        <f t="shared" ref="AI304" si="283">IFERROR(ROUNDDOWN(ROUND(L302*V304,0)*M302,0)*AG304,"")</f>
        <v/>
      </c>
      <c r="AJ304" s="1578" t="str">
        <f>IFERROR(ROUNDDOWN(ROUND((L302*(V304-AX302)),0)*M302,0)*AG304,"")</f>
        <v/>
      </c>
      <c r="AK304" s="1497" t="str">
        <f>IFERROR(ROUNDDOWN(ROUNDDOWN(ROUND(L302*VLOOKUP(K302,【参考】数式用!$A$5:$AB$27,MATCH("新加算Ⅳ",【参考】数式用!$B$4:$AB$4,0)+1,0),0)*M302,0)*AG304*0.5,0),"")</f>
        <v/>
      </c>
      <c r="AL304" s="1580"/>
      <c r="AM304" s="1588" t="str">
        <f>IFERROR(IF('別紙様式2-2（４・５月分）'!Q232="ベア加算","", IF(OR(U304="新加算Ⅰ",U304="新加算Ⅱ",U304="新加算Ⅲ",U304="新加算Ⅳ"),ROUNDDOWN(ROUND(L302*VLOOKUP(K302,【参考】数式用!$A$5:$I$27,MATCH("ベア加算",【参考】数式用!$B$4:$I$4,0)+1,0),0)*M302,0)*AG304,"")),"")</f>
        <v/>
      </c>
      <c r="AN304" s="1544"/>
      <c r="AO304" s="1536"/>
      <c r="AP304" s="1548"/>
      <c r="AQ304" s="1536"/>
      <c r="AR304" s="1550"/>
      <c r="AS304" s="1552"/>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71"/>
      <c r="V305" s="1467"/>
      <c r="W305" s="1469"/>
      <c r="X305" s="1539"/>
      <c r="Y305" s="1411"/>
      <c r="Z305" s="1539"/>
      <c r="AA305" s="1411"/>
      <c r="AB305" s="1539"/>
      <c r="AC305" s="1411"/>
      <c r="AD305" s="1539"/>
      <c r="AE305" s="1411"/>
      <c r="AF305" s="1411"/>
      <c r="AG305" s="1411"/>
      <c r="AH305" s="1413"/>
      <c r="AI305" s="1415"/>
      <c r="AJ305" s="1579"/>
      <c r="AK305" s="1498"/>
      <c r="AL305" s="1581"/>
      <c r="AM305" s="1589"/>
      <c r="AN305" s="1545"/>
      <c r="AO305" s="1537"/>
      <c r="AP305" s="1549"/>
      <c r="AQ305" s="1537"/>
      <c r="AR305" s="1551"/>
      <c r="AS305" s="1553"/>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2275</v>
      </c>
      <c r="U306" s="1562" t="str">
        <f>IF('別紙様式2-3（６月以降分）'!U306="","",'別紙様式2-3（６月以降分）'!U306)</f>
        <v/>
      </c>
      <c r="V306" s="1460" t="str">
        <f>IFERROR(VLOOKUP(K306,【参考】数式用!$A$5:$AB$27,MATCH(U306,【参考】数式用!$B$4:$AB$4,0)+1,0),"")</f>
        <v/>
      </c>
      <c r="W306" s="1353" t="s">
        <v>19</v>
      </c>
      <c r="X306" s="1554">
        <f>'別紙様式2-3（６月以降分）'!X306</f>
        <v>6</v>
      </c>
      <c r="Y306" s="1357" t="s">
        <v>10</v>
      </c>
      <c r="Z306" s="1554">
        <f>'別紙様式2-3（６月以降分）'!Z306</f>
        <v>6</v>
      </c>
      <c r="AA306" s="1357" t="s">
        <v>45</v>
      </c>
      <c r="AB306" s="1554">
        <f>'別紙様式2-3（６月以降分）'!AB306</f>
        <v>7</v>
      </c>
      <c r="AC306" s="1357" t="s">
        <v>10</v>
      </c>
      <c r="AD306" s="1554">
        <f>'別紙様式2-3（６月以降分）'!AD306</f>
        <v>3</v>
      </c>
      <c r="AE306" s="1357" t="s">
        <v>2188</v>
      </c>
      <c r="AF306" s="1357" t="s">
        <v>24</v>
      </c>
      <c r="AG306" s="1357">
        <f>IF(X306&gt;=1,(AB306*12+AD306)-(X306*12+Z306)+1,"")</f>
        <v>10</v>
      </c>
      <c r="AH306" s="1363" t="s">
        <v>38</v>
      </c>
      <c r="AI306" s="1484" t="str">
        <f>'別紙様式2-3（６月以降分）'!AI306</f>
        <v/>
      </c>
      <c r="AJ306" s="1556" t="str">
        <f>'別紙様式2-3（６月以降分）'!AJ306</f>
        <v/>
      </c>
      <c r="AK306" s="1584">
        <f>'別紙様式2-3（６月以降分）'!AK306</f>
        <v>0</v>
      </c>
      <c r="AL306" s="1560" t="str">
        <f>IF('別紙様式2-3（６月以降分）'!AL306="","",'別紙様式2-3（６月以降分）'!AL306)</f>
        <v/>
      </c>
      <c r="AM306" s="1572">
        <f>'別紙様式2-3（６月以降分）'!AM306</f>
        <v>0</v>
      </c>
      <c r="AN306" s="1574"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3"/>
      <c r="V307" s="1461"/>
      <c r="W307" s="1354"/>
      <c r="X307" s="1555"/>
      <c r="Y307" s="1358"/>
      <c r="Z307" s="1555"/>
      <c r="AA307" s="1358"/>
      <c r="AB307" s="1555"/>
      <c r="AC307" s="1358"/>
      <c r="AD307" s="1555"/>
      <c r="AE307" s="1358"/>
      <c r="AF307" s="1358"/>
      <c r="AG307" s="1358"/>
      <c r="AH307" s="1364"/>
      <c r="AI307" s="1485"/>
      <c r="AJ307" s="1557"/>
      <c r="AK307" s="1585"/>
      <c r="AL307" s="1561"/>
      <c r="AM307" s="1573"/>
      <c r="AN307" s="1575"/>
      <c r="AO307" s="1407"/>
      <c r="AP307" s="1567"/>
      <c r="AQ307" s="1407"/>
      <c r="AR307" s="1587"/>
      <c r="AS307" s="1569"/>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2196</v>
      </c>
      <c r="Q308" s="1507" t="str">
        <f>IFERROR(VLOOKUP('別紙様式2-2（４・５月分）'!AR233,【参考】数式用!$AT$5:$AV$22,3,FALSE),"")</f>
        <v/>
      </c>
      <c r="R308" s="1391" t="s">
        <v>2207</v>
      </c>
      <c r="S308" s="1397" t="str">
        <f>IFERROR(VLOOKUP(K306,【参考】数式用!$A$5:$AB$27,MATCH(Q308,【参考】数式用!$B$4:$AB$4,0)+1,0),"")</f>
        <v/>
      </c>
      <c r="T308" s="1462" t="s">
        <v>2285</v>
      </c>
      <c r="U308" s="1570"/>
      <c r="V308" s="1466" t="str">
        <f>IFERROR(VLOOKUP(K306,【参考】数式用!$A$5:$AB$27,MATCH(U308,【参考】数式用!$B$4:$AB$4,0)+1,0),"")</f>
        <v/>
      </c>
      <c r="W308" s="1468" t="s">
        <v>19</v>
      </c>
      <c r="X308" s="1538"/>
      <c r="Y308" s="1410" t="s">
        <v>10</v>
      </c>
      <c r="Z308" s="1538"/>
      <c r="AA308" s="1410" t="s">
        <v>45</v>
      </c>
      <c r="AB308" s="1538"/>
      <c r="AC308" s="1410" t="s">
        <v>10</v>
      </c>
      <c r="AD308" s="1538"/>
      <c r="AE308" s="1410" t="s">
        <v>2188</v>
      </c>
      <c r="AF308" s="1410" t="s">
        <v>24</v>
      </c>
      <c r="AG308" s="1410" t="str">
        <f>IF(X308&gt;=1,(AB308*12+AD308)-(X308*12+Z308)+1,"")</f>
        <v/>
      </c>
      <c r="AH308" s="1412" t="s">
        <v>38</v>
      </c>
      <c r="AI308" s="1414" t="str">
        <f t="shared" ref="AI308" si="287">IFERROR(ROUNDDOWN(ROUND(L306*V308,0)*M306,0)*AG308,"")</f>
        <v/>
      </c>
      <c r="AJ308" s="1578" t="str">
        <f>IFERROR(ROUNDDOWN(ROUND((L306*(V308-AX306)),0)*M306,0)*AG308,"")</f>
        <v/>
      </c>
      <c r="AK308" s="1497" t="str">
        <f>IFERROR(ROUNDDOWN(ROUNDDOWN(ROUND(L306*VLOOKUP(K306,【参考】数式用!$A$5:$AB$27,MATCH("新加算Ⅳ",【参考】数式用!$B$4:$AB$4,0)+1,0),0)*M306,0)*AG308*0.5,0),"")</f>
        <v/>
      </c>
      <c r="AL308" s="1580"/>
      <c r="AM308" s="1588" t="str">
        <f>IFERROR(IF('別紙様式2-2（４・５月分）'!Q235="ベア加算","", IF(OR(U308="新加算Ⅰ",U308="新加算Ⅱ",U308="新加算Ⅲ",U308="新加算Ⅳ"),ROUNDDOWN(ROUND(L306*VLOOKUP(K306,【参考】数式用!$A$5:$I$27,MATCH("ベア加算",【参考】数式用!$B$4:$I$4,0)+1,0),0)*M306,0)*AG308,"")),"")</f>
        <v/>
      </c>
      <c r="AN308" s="1544"/>
      <c r="AO308" s="1536"/>
      <c r="AP308" s="1548"/>
      <c r="AQ308" s="1536"/>
      <c r="AR308" s="1550"/>
      <c r="AS308" s="1552"/>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71"/>
      <c r="V309" s="1467"/>
      <c r="W309" s="1469"/>
      <c r="X309" s="1539"/>
      <c r="Y309" s="1411"/>
      <c r="Z309" s="1539"/>
      <c r="AA309" s="1411"/>
      <c r="AB309" s="1539"/>
      <c r="AC309" s="1411"/>
      <c r="AD309" s="1539"/>
      <c r="AE309" s="1411"/>
      <c r="AF309" s="1411"/>
      <c r="AG309" s="1411"/>
      <c r="AH309" s="1413"/>
      <c r="AI309" s="1415"/>
      <c r="AJ309" s="1579"/>
      <c r="AK309" s="1498"/>
      <c r="AL309" s="1581"/>
      <c r="AM309" s="1589"/>
      <c r="AN309" s="1545"/>
      <c r="AO309" s="1537"/>
      <c r="AP309" s="1549"/>
      <c r="AQ309" s="1537"/>
      <c r="AR309" s="1551"/>
      <c r="AS309" s="1553"/>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2275</v>
      </c>
      <c r="U310" s="1562" t="str">
        <f>IF('別紙様式2-3（６月以降分）'!U310="","",'別紙様式2-3（６月以降分）'!U310)</f>
        <v/>
      </c>
      <c r="V310" s="1460" t="str">
        <f>IFERROR(VLOOKUP(K310,【参考】数式用!$A$5:$AB$27,MATCH(U310,【参考】数式用!$B$4:$AB$4,0)+1,0),"")</f>
        <v/>
      </c>
      <c r="W310" s="1353" t="s">
        <v>19</v>
      </c>
      <c r="X310" s="1554">
        <f>'別紙様式2-3（６月以降分）'!X310</f>
        <v>6</v>
      </c>
      <c r="Y310" s="1357" t="s">
        <v>10</v>
      </c>
      <c r="Z310" s="1554">
        <f>'別紙様式2-3（６月以降分）'!Z310</f>
        <v>6</v>
      </c>
      <c r="AA310" s="1357" t="s">
        <v>45</v>
      </c>
      <c r="AB310" s="1554">
        <f>'別紙様式2-3（６月以降分）'!AB310</f>
        <v>7</v>
      </c>
      <c r="AC310" s="1357" t="s">
        <v>10</v>
      </c>
      <c r="AD310" s="1554">
        <f>'別紙様式2-3（６月以降分）'!AD310</f>
        <v>3</v>
      </c>
      <c r="AE310" s="1357" t="s">
        <v>2188</v>
      </c>
      <c r="AF310" s="1357" t="s">
        <v>24</v>
      </c>
      <c r="AG310" s="1357">
        <f>IF(X310&gt;=1,(AB310*12+AD310)-(X310*12+Z310)+1,"")</f>
        <v>10</v>
      </c>
      <c r="AH310" s="1363" t="s">
        <v>38</v>
      </c>
      <c r="AI310" s="1484" t="str">
        <f>'別紙様式2-3（６月以降分）'!AI310</f>
        <v/>
      </c>
      <c r="AJ310" s="1556" t="str">
        <f>'別紙様式2-3（６月以降分）'!AJ310</f>
        <v/>
      </c>
      <c r="AK310" s="1584">
        <f>'別紙様式2-3（６月以降分）'!AK310</f>
        <v>0</v>
      </c>
      <c r="AL310" s="1560" t="str">
        <f>IF('別紙様式2-3（６月以降分）'!AL310="","",'別紙様式2-3（６月以降分）'!AL310)</f>
        <v/>
      </c>
      <c r="AM310" s="1572">
        <f>'別紙様式2-3（６月以降分）'!AM310</f>
        <v>0</v>
      </c>
      <c r="AN310" s="1574"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3"/>
      <c r="V311" s="1461"/>
      <c r="W311" s="1354"/>
      <c r="X311" s="1555"/>
      <c r="Y311" s="1358"/>
      <c r="Z311" s="1555"/>
      <c r="AA311" s="1358"/>
      <c r="AB311" s="1555"/>
      <c r="AC311" s="1358"/>
      <c r="AD311" s="1555"/>
      <c r="AE311" s="1358"/>
      <c r="AF311" s="1358"/>
      <c r="AG311" s="1358"/>
      <c r="AH311" s="1364"/>
      <c r="AI311" s="1485"/>
      <c r="AJ311" s="1557"/>
      <c r="AK311" s="1585"/>
      <c r="AL311" s="1561"/>
      <c r="AM311" s="1573"/>
      <c r="AN311" s="1575"/>
      <c r="AO311" s="1407"/>
      <c r="AP311" s="1567"/>
      <c r="AQ311" s="1407"/>
      <c r="AR311" s="1587"/>
      <c r="AS311" s="1569"/>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2196</v>
      </c>
      <c r="Q312" s="1507" t="str">
        <f>IFERROR(VLOOKUP('別紙様式2-2（４・５月分）'!AR236,【参考】数式用!$AT$5:$AV$22,3,FALSE),"")</f>
        <v/>
      </c>
      <c r="R312" s="1391" t="s">
        <v>2207</v>
      </c>
      <c r="S312" s="1399" t="str">
        <f>IFERROR(VLOOKUP(K310,【参考】数式用!$A$5:$AB$27,MATCH(Q312,【参考】数式用!$B$4:$AB$4,0)+1,0),"")</f>
        <v/>
      </c>
      <c r="T312" s="1462" t="s">
        <v>2285</v>
      </c>
      <c r="U312" s="1570"/>
      <c r="V312" s="1466" t="str">
        <f>IFERROR(VLOOKUP(K310,【参考】数式用!$A$5:$AB$27,MATCH(U312,【参考】数式用!$B$4:$AB$4,0)+1,0),"")</f>
        <v/>
      </c>
      <c r="W312" s="1468" t="s">
        <v>19</v>
      </c>
      <c r="X312" s="1538"/>
      <c r="Y312" s="1410" t="s">
        <v>10</v>
      </c>
      <c r="Z312" s="1538"/>
      <c r="AA312" s="1410" t="s">
        <v>45</v>
      </c>
      <c r="AB312" s="1538"/>
      <c r="AC312" s="1410" t="s">
        <v>10</v>
      </c>
      <c r="AD312" s="1538"/>
      <c r="AE312" s="1410" t="s">
        <v>2188</v>
      </c>
      <c r="AF312" s="1410" t="s">
        <v>24</v>
      </c>
      <c r="AG312" s="1410" t="str">
        <f>IF(X312&gt;=1,(AB312*12+AD312)-(X312*12+Z312)+1,"")</f>
        <v/>
      </c>
      <c r="AH312" s="1412" t="s">
        <v>38</v>
      </c>
      <c r="AI312" s="1414" t="str">
        <f t="shared" ref="AI312" si="291">IFERROR(ROUNDDOWN(ROUND(L310*V312,0)*M310,0)*AG312,"")</f>
        <v/>
      </c>
      <c r="AJ312" s="1578" t="str">
        <f>IFERROR(ROUNDDOWN(ROUND((L310*(V312-AX310)),0)*M310,0)*AG312,"")</f>
        <v/>
      </c>
      <c r="AK312" s="1497" t="str">
        <f>IFERROR(ROUNDDOWN(ROUNDDOWN(ROUND(L310*VLOOKUP(K310,【参考】数式用!$A$5:$AB$27,MATCH("新加算Ⅳ",【参考】数式用!$B$4:$AB$4,0)+1,0),0)*M310,0)*AG312*0.5,0),"")</f>
        <v/>
      </c>
      <c r="AL312" s="1580"/>
      <c r="AM312" s="1588" t="str">
        <f>IFERROR(IF('別紙様式2-2（４・５月分）'!Q238="ベア加算","", IF(OR(U312="新加算Ⅰ",U312="新加算Ⅱ",U312="新加算Ⅲ",U312="新加算Ⅳ"),ROUNDDOWN(ROUND(L310*VLOOKUP(K310,【参考】数式用!$A$5:$I$27,MATCH("ベア加算",【参考】数式用!$B$4:$I$4,0)+1,0),0)*M310,0)*AG312,"")),"")</f>
        <v/>
      </c>
      <c r="AN312" s="1544"/>
      <c r="AO312" s="1536"/>
      <c r="AP312" s="1548"/>
      <c r="AQ312" s="1536"/>
      <c r="AR312" s="1550"/>
      <c r="AS312" s="1552"/>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71"/>
      <c r="V313" s="1467"/>
      <c r="W313" s="1469"/>
      <c r="X313" s="1539"/>
      <c r="Y313" s="1411"/>
      <c r="Z313" s="1539"/>
      <c r="AA313" s="1411"/>
      <c r="AB313" s="1539"/>
      <c r="AC313" s="1411"/>
      <c r="AD313" s="1539"/>
      <c r="AE313" s="1411"/>
      <c r="AF313" s="1411"/>
      <c r="AG313" s="1411"/>
      <c r="AH313" s="1413"/>
      <c r="AI313" s="1415"/>
      <c r="AJ313" s="1579"/>
      <c r="AK313" s="1498"/>
      <c r="AL313" s="1581"/>
      <c r="AM313" s="1589"/>
      <c r="AN313" s="1545"/>
      <c r="AO313" s="1537"/>
      <c r="AP313" s="1549"/>
      <c r="AQ313" s="1537"/>
      <c r="AR313" s="1551"/>
      <c r="AS313" s="1553"/>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2275</v>
      </c>
      <c r="U314" s="1562" t="str">
        <f>IF('別紙様式2-3（６月以降分）'!U314="","",'別紙様式2-3（６月以降分）'!U314)</f>
        <v/>
      </c>
      <c r="V314" s="1460" t="str">
        <f>IFERROR(VLOOKUP(K314,【参考】数式用!$A$5:$AB$27,MATCH(U314,【参考】数式用!$B$4:$AB$4,0)+1,0),"")</f>
        <v/>
      </c>
      <c r="W314" s="1353" t="s">
        <v>19</v>
      </c>
      <c r="X314" s="1554">
        <f>'別紙様式2-3（６月以降分）'!X314</f>
        <v>6</v>
      </c>
      <c r="Y314" s="1357" t="s">
        <v>10</v>
      </c>
      <c r="Z314" s="1554">
        <f>'別紙様式2-3（６月以降分）'!Z314</f>
        <v>6</v>
      </c>
      <c r="AA314" s="1357" t="s">
        <v>45</v>
      </c>
      <c r="AB314" s="1554">
        <f>'別紙様式2-3（６月以降分）'!AB314</f>
        <v>7</v>
      </c>
      <c r="AC314" s="1357" t="s">
        <v>10</v>
      </c>
      <c r="AD314" s="1554">
        <f>'別紙様式2-3（６月以降分）'!AD314</f>
        <v>3</v>
      </c>
      <c r="AE314" s="1357" t="s">
        <v>2188</v>
      </c>
      <c r="AF314" s="1357" t="s">
        <v>24</v>
      </c>
      <c r="AG314" s="1357">
        <f>IF(X314&gt;=1,(AB314*12+AD314)-(X314*12+Z314)+1,"")</f>
        <v>10</v>
      </c>
      <c r="AH314" s="1363" t="s">
        <v>38</v>
      </c>
      <c r="AI314" s="1484" t="str">
        <f>'別紙様式2-3（６月以降分）'!AI314</f>
        <v/>
      </c>
      <c r="AJ314" s="1556" t="str">
        <f>'別紙様式2-3（６月以降分）'!AJ314</f>
        <v/>
      </c>
      <c r="AK314" s="1584">
        <f>'別紙様式2-3（６月以降分）'!AK314</f>
        <v>0</v>
      </c>
      <c r="AL314" s="1560" t="str">
        <f>IF('別紙様式2-3（６月以降分）'!AL314="","",'別紙様式2-3（６月以降分）'!AL314)</f>
        <v/>
      </c>
      <c r="AM314" s="1572">
        <f>'別紙様式2-3（６月以降分）'!AM314</f>
        <v>0</v>
      </c>
      <c r="AN314" s="1574"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3"/>
      <c r="V315" s="1461"/>
      <c r="W315" s="1354"/>
      <c r="X315" s="1555"/>
      <c r="Y315" s="1358"/>
      <c r="Z315" s="1555"/>
      <c r="AA315" s="1358"/>
      <c r="AB315" s="1555"/>
      <c r="AC315" s="1358"/>
      <c r="AD315" s="1555"/>
      <c r="AE315" s="1358"/>
      <c r="AF315" s="1358"/>
      <c r="AG315" s="1358"/>
      <c r="AH315" s="1364"/>
      <c r="AI315" s="1485"/>
      <c r="AJ315" s="1557"/>
      <c r="AK315" s="1585"/>
      <c r="AL315" s="1561"/>
      <c r="AM315" s="1573"/>
      <c r="AN315" s="1575"/>
      <c r="AO315" s="1407"/>
      <c r="AP315" s="1567"/>
      <c r="AQ315" s="1407"/>
      <c r="AR315" s="1587"/>
      <c r="AS315" s="1569"/>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2196</v>
      </c>
      <c r="Q316" s="1507" t="str">
        <f>IFERROR(VLOOKUP('別紙様式2-2（４・５月分）'!AR239,【参考】数式用!$AT$5:$AV$22,3,FALSE),"")</f>
        <v/>
      </c>
      <c r="R316" s="1391" t="s">
        <v>2207</v>
      </c>
      <c r="S316" s="1397" t="str">
        <f>IFERROR(VLOOKUP(K314,【参考】数式用!$A$5:$AB$27,MATCH(Q316,【参考】数式用!$B$4:$AB$4,0)+1,0),"")</f>
        <v/>
      </c>
      <c r="T316" s="1462" t="s">
        <v>2285</v>
      </c>
      <c r="U316" s="1570"/>
      <c r="V316" s="1466" t="str">
        <f>IFERROR(VLOOKUP(K314,【参考】数式用!$A$5:$AB$27,MATCH(U316,【参考】数式用!$B$4:$AB$4,0)+1,0),"")</f>
        <v/>
      </c>
      <c r="W316" s="1468" t="s">
        <v>19</v>
      </c>
      <c r="X316" s="1538"/>
      <c r="Y316" s="1410" t="s">
        <v>10</v>
      </c>
      <c r="Z316" s="1538"/>
      <c r="AA316" s="1410" t="s">
        <v>45</v>
      </c>
      <c r="AB316" s="1538"/>
      <c r="AC316" s="1410" t="s">
        <v>10</v>
      </c>
      <c r="AD316" s="1538"/>
      <c r="AE316" s="1410" t="s">
        <v>2188</v>
      </c>
      <c r="AF316" s="1410" t="s">
        <v>24</v>
      </c>
      <c r="AG316" s="1410" t="str">
        <f>IF(X316&gt;=1,(AB316*12+AD316)-(X316*12+Z316)+1,"")</f>
        <v/>
      </c>
      <c r="AH316" s="1412" t="s">
        <v>38</v>
      </c>
      <c r="AI316" s="1414" t="str">
        <f t="shared" ref="AI316" si="295">IFERROR(ROUNDDOWN(ROUND(L314*V316,0)*M314,0)*AG316,"")</f>
        <v/>
      </c>
      <c r="AJ316" s="1578" t="str">
        <f>IFERROR(ROUNDDOWN(ROUND((L314*(V316-AX314)),0)*M314,0)*AG316,"")</f>
        <v/>
      </c>
      <c r="AK316" s="1497" t="str">
        <f>IFERROR(ROUNDDOWN(ROUNDDOWN(ROUND(L314*VLOOKUP(K314,【参考】数式用!$A$5:$AB$27,MATCH("新加算Ⅳ",【参考】数式用!$B$4:$AB$4,0)+1,0),0)*M314,0)*AG316*0.5,0),"")</f>
        <v/>
      </c>
      <c r="AL316" s="1580"/>
      <c r="AM316" s="1588" t="str">
        <f>IFERROR(IF('別紙様式2-2（４・５月分）'!Q241="ベア加算","", IF(OR(U316="新加算Ⅰ",U316="新加算Ⅱ",U316="新加算Ⅲ",U316="新加算Ⅳ"),ROUNDDOWN(ROUND(L314*VLOOKUP(K314,【参考】数式用!$A$5:$I$27,MATCH("ベア加算",【参考】数式用!$B$4:$I$4,0)+1,0),0)*M314,0)*AG316,"")),"")</f>
        <v/>
      </c>
      <c r="AN316" s="1544"/>
      <c r="AO316" s="1536"/>
      <c r="AP316" s="1548"/>
      <c r="AQ316" s="1536"/>
      <c r="AR316" s="1550"/>
      <c r="AS316" s="1552"/>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71"/>
      <c r="V317" s="1467"/>
      <c r="W317" s="1469"/>
      <c r="X317" s="1539"/>
      <c r="Y317" s="1411"/>
      <c r="Z317" s="1539"/>
      <c r="AA317" s="1411"/>
      <c r="AB317" s="1539"/>
      <c r="AC317" s="1411"/>
      <c r="AD317" s="1539"/>
      <c r="AE317" s="1411"/>
      <c r="AF317" s="1411"/>
      <c r="AG317" s="1411"/>
      <c r="AH317" s="1413"/>
      <c r="AI317" s="1415"/>
      <c r="AJ317" s="1579"/>
      <c r="AK317" s="1498"/>
      <c r="AL317" s="1581"/>
      <c r="AM317" s="1589"/>
      <c r="AN317" s="1545"/>
      <c r="AO317" s="1537"/>
      <c r="AP317" s="1549"/>
      <c r="AQ317" s="1537"/>
      <c r="AR317" s="1551"/>
      <c r="AS317" s="1553"/>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2275</v>
      </c>
      <c r="U318" s="1562" t="str">
        <f>IF('別紙様式2-3（６月以降分）'!U318="","",'別紙様式2-3（６月以降分）'!U318)</f>
        <v/>
      </c>
      <c r="V318" s="1460" t="str">
        <f>IFERROR(VLOOKUP(K318,【参考】数式用!$A$5:$AB$27,MATCH(U318,【参考】数式用!$B$4:$AB$4,0)+1,0),"")</f>
        <v/>
      </c>
      <c r="W318" s="1353" t="s">
        <v>19</v>
      </c>
      <c r="X318" s="1554">
        <f>'別紙様式2-3（６月以降分）'!X318</f>
        <v>6</v>
      </c>
      <c r="Y318" s="1357" t="s">
        <v>10</v>
      </c>
      <c r="Z318" s="1554">
        <f>'別紙様式2-3（６月以降分）'!Z318</f>
        <v>6</v>
      </c>
      <c r="AA318" s="1357" t="s">
        <v>45</v>
      </c>
      <c r="AB318" s="1554">
        <f>'別紙様式2-3（６月以降分）'!AB318</f>
        <v>7</v>
      </c>
      <c r="AC318" s="1357" t="s">
        <v>10</v>
      </c>
      <c r="AD318" s="1554">
        <f>'別紙様式2-3（６月以降分）'!AD318</f>
        <v>3</v>
      </c>
      <c r="AE318" s="1357" t="s">
        <v>2188</v>
      </c>
      <c r="AF318" s="1357" t="s">
        <v>24</v>
      </c>
      <c r="AG318" s="1357">
        <f>IF(X318&gt;=1,(AB318*12+AD318)-(X318*12+Z318)+1,"")</f>
        <v>10</v>
      </c>
      <c r="AH318" s="1363" t="s">
        <v>38</v>
      </c>
      <c r="AI318" s="1484" t="str">
        <f>'別紙様式2-3（６月以降分）'!AI318</f>
        <v/>
      </c>
      <c r="AJ318" s="1556" t="str">
        <f>'別紙様式2-3（６月以降分）'!AJ318</f>
        <v/>
      </c>
      <c r="AK318" s="1584">
        <f>'別紙様式2-3（６月以降分）'!AK318</f>
        <v>0</v>
      </c>
      <c r="AL318" s="1560" t="str">
        <f>IF('別紙様式2-3（６月以降分）'!AL318="","",'別紙様式2-3（６月以降分）'!AL318)</f>
        <v/>
      </c>
      <c r="AM318" s="1572">
        <f>'別紙様式2-3（６月以降分）'!AM318</f>
        <v>0</v>
      </c>
      <c r="AN318" s="1574"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3"/>
      <c r="V319" s="1461"/>
      <c r="W319" s="1354"/>
      <c r="X319" s="1555"/>
      <c r="Y319" s="1358"/>
      <c r="Z319" s="1555"/>
      <c r="AA319" s="1358"/>
      <c r="AB319" s="1555"/>
      <c r="AC319" s="1358"/>
      <c r="AD319" s="1555"/>
      <c r="AE319" s="1358"/>
      <c r="AF319" s="1358"/>
      <c r="AG319" s="1358"/>
      <c r="AH319" s="1364"/>
      <c r="AI319" s="1485"/>
      <c r="AJ319" s="1557"/>
      <c r="AK319" s="1585"/>
      <c r="AL319" s="1561"/>
      <c r="AM319" s="1573"/>
      <c r="AN319" s="1575"/>
      <c r="AO319" s="1407"/>
      <c r="AP319" s="1567"/>
      <c r="AQ319" s="1407"/>
      <c r="AR319" s="1587"/>
      <c r="AS319" s="1569"/>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2196</v>
      </c>
      <c r="Q320" s="1507" t="str">
        <f>IFERROR(VLOOKUP('別紙様式2-2（４・５月分）'!AR242,【参考】数式用!$AT$5:$AV$22,3,FALSE),"")</f>
        <v/>
      </c>
      <c r="R320" s="1391" t="s">
        <v>2207</v>
      </c>
      <c r="S320" s="1399" t="str">
        <f>IFERROR(VLOOKUP(K318,【参考】数式用!$A$5:$AB$27,MATCH(Q320,【参考】数式用!$B$4:$AB$4,0)+1,0),"")</f>
        <v/>
      </c>
      <c r="T320" s="1462" t="s">
        <v>2285</v>
      </c>
      <c r="U320" s="1570"/>
      <c r="V320" s="1466" t="str">
        <f>IFERROR(VLOOKUP(K318,【参考】数式用!$A$5:$AB$27,MATCH(U320,【参考】数式用!$B$4:$AB$4,0)+1,0),"")</f>
        <v/>
      </c>
      <c r="W320" s="1468" t="s">
        <v>19</v>
      </c>
      <c r="X320" s="1538"/>
      <c r="Y320" s="1410" t="s">
        <v>10</v>
      </c>
      <c r="Z320" s="1538"/>
      <c r="AA320" s="1410" t="s">
        <v>45</v>
      </c>
      <c r="AB320" s="1538"/>
      <c r="AC320" s="1410" t="s">
        <v>10</v>
      </c>
      <c r="AD320" s="1538"/>
      <c r="AE320" s="1410" t="s">
        <v>2188</v>
      </c>
      <c r="AF320" s="1410" t="s">
        <v>24</v>
      </c>
      <c r="AG320" s="1410" t="str">
        <f>IF(X320&gt;=1,(AB320*12+AD320)-(X320*12+Z320)+1,"")</f>
        <v/>
      </c>
      <c r="AH320" s="1412" t="s">
        <v>38</v>
      </c>
      <c r="AI320" s="1414" t="str">
        <f t="shared" ref="AI320" si="299">IFERROR(ROUNDDOWN(ROUND(L318*V320,0)*M318,0)*AG320,"")</f>
        <v/>
      </c>
      <c r="AJ320" s="1578" t="str">
        <f>IFERROR(ROUNDDOWN(ROUND((L318*(V320-AX318)),0)*M318,0)*AG320,"")</f>
        <v/>
      </c>
      <c r="AK320" s="1497" t="str">
        <f>IFERROR(ROUNDDOWN(ROUNDDOWN(ROUND(L318*VLOOKUP(K318,【参考】数式用!$A$5:$AB$27,MATCH("新加算Ⅳ",【参考】数式用!$B$4:$AB$4,0)+1,0),0)*M318,0)*AG320*0.5,0),"")</f>
        <v/>
      </c>
      <c r="AL320" s="1580"/>
      <c r="AM320" s="1588" t="str">
        <f>IFERROR(IF('別紙様式2-2（４・５月分）'!Q244="ベア加算","", IF(OR(U320="新加算Ⅰ",U320="新加算Ⅱ",U320="新加算Ⅲ",U320="新加算Ⅳ"),ROUNDDOWN(ROUND(L318*VLOOKUP(K318,【参考】数式用!$A$5:$I$27,MATCH("ベア加算",【参考】数式用!$B$4:$I$4,0)+1,0),0)*M318,0)*AG320,"")),"")</f>
        <v/>
      </c>
      <c r="AN320" s="1544"/>
      <c r="AO320" s="1536"/>
      <c r="AP320" s="1548"/>
      <c r="AQ320" s="1536"/>
      <c r="AR320" s="1550"/>
      <c r="AS320" s="1552"/>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71"/>
      <c r="V321" s="1467"/>
      <c r="W321" s="1469"/>
      <c r="X321" s="1539"/>
      <c r="Y321" s="1411"/>
      <c r="Z321" s="1539"/>
      <c r="AA321" s="1411"/>
      <c r="AB321" s="1539"/>
      <c r="AC321" s="1411"/>
      <c r="AD321" s="1539"/>
      <c r="AE321" s="1411"/>
      <c r="AF321" s="1411"/>
      <c r="AG321" s="1411"/>
      <c r="AH321" s="1413"/>
      <c r="AI321" s="1415"/>
      <c r="AJ321" s="1579"/>
      <c r="AK321" s="1498"/>
      <c r="AL321" s="1581"/>
      <c r="AM321" s="1589"/>
      <c r="AN321" s="1545"/>
      <c r="AO321" s="1537"/>
      <c r="AP321" s="1549"/>
      <c r="AQ321" s="1537"/>
      <c r="AR321" s="1551"/>
      <c r="AS321" s="1553"/>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2275</v>
      </c>
      <c r="U322" s="1562" t="str">
        <f>IF('別紙様式2-3（６月以降分）'!U322="","",'別紙様式2-3（６月以降分）'!U322)</f>
        <v/>
      </c>
      <c r="V322" s="1460" t="str">
        <f>IFERROR(VLOOKUP(K322,【参考】数式用!$A$5:$AB$27,MATCH(U322,【参考】数式用!$B$4:$AB$4,0)+1,0),"")</f>
        <v/>
      </c>
      <c r="W322" s="1353" t="s">
        <v>19</v>
      </c>
      <c r="X322" s="1554">
        <f>'別紙様式2-3（６月以降分）'!X322</f>
        <v>6</v>
      </c>
      <c r="Y322" s="1357" t="s">
        <v>10</v>
      </c>
      <c r="Z322" s="1554">
        <f>'別紙様式2-3（６月以降分）'!Z322</f>
        <v>6</v>
      </c>
      <c r="AA322" s="1357" t="s">
        <v>45</v>
      </c>
      <c r="AB322" s="1554">
        <f>'別紙様式2-3（６月以降分）'!AB322</f>
        <v>7</v>
      </c>
      <c r="AC322" s="1357" t="s">
        <v>10</v>
      </c>
      <c r="AD322" s="1554">
        <f>'別紙様式2-3（６月以降分）'!AD322</f>
        <v>3</v>
      </c>
      <c r="AE322" s="1357" t="s">
        <v>2188</v>
      </c>
      <c r="AF322" s="1357" t="s">
        <v>24</v>
      </c>
      <c r="AG322" s="1357">
        <f>IF(X322&gt;=1,(AB322*12+AD322)-(X322*12+Z322)+1,"")</f>
        <v>10</v>
      </c>
      <c r="AH322" s="1363" t="s">
        <v>38</v>
      </c>
      <c r="AI322" s="1484" t="str">
        <f>'別紙様式2-3（６月以降分）'!AI322</f>
        <v/>
      </c>
      <c r="AJ322" s="1556" t="str">
        <f>'別紙様式2-3（６月以降分）'!AJ322</f>
        <v/>
      </c>
      <c r="AK322" s="1584">
        <f>'別紙様式2-3（６月以降分）'!AK322</f>
        <v>0</v>
      </c>
      <c r="AL322" s="1560" t="str">
        <f>IF('別紙様式2-3（６月以降分）'!AL322="","",'別紙様式2-3（６月以降分）'!AL322)</f>
        <v/>
      </c>
      <c r="AM322" s="1572">
        <f>'別紙様式2-3（６月以降分）'!AM322</f>
        <v>0</v>
      </c>
      <c r="AN322" s="1574"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3"/>
      <c r="V323" s="1461"/>
      <c r="W323" s="1354"/>
      <c r="X323" s="1555"/>
      <c r="Y323" s="1358"/>
      <c r="Z323" s="1555"/>
      <c r="AA323" s="1358"/>
      <c r="AB323" s="1555"/>
      <c r="AC323" s="1358"/>
      <c r="AD323" s="1555"/>
      <c r="AE323" s="1358"/>
      <c r="AF323" s="1358"/>
      <c r="AG323" s="1358"/>
      <c r="AH323" s="1364"/>
      <c r="AI323" s="1485"/>
      <c r="AJ323" s="1557"/>
      <c r="AK323" s="1585"/>
      <c r="AL323" s="1561"/>
      <c r="AM323" s="1573"/>
      <c r="AN323" s="1575"/>
      <c r="AO323" s="1407"/>
      <c r="AP323" s="1567"/>
      <c r="AQ323" s="1407"/>
      <c r="AR323" s="1587"/>
      <c r="AS323" s="1569"/>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2196</v>
      </c>
      <c r="Q324" s="1507" t="str">
        <f>IFERROR(VLOOKUP('別紙様式2-2（４・５月分）'!AR245,【参考】数式用!$AT$5:$AV$22,3,FALSE),"")</f>
        <v/>
      </c>
      <c r="R324" s="1391" t="s">
        <v>2207</v>
      </c>
      <c r="S324" s="1397" t="str">
        <f>IFERROR(VLOOKUP(K322,【参考】数式用!$A$5:$AB$27,MATCH(Q324,【参考】数式用!$B$4:$AB$4,0)+1,0),"")</f>
        <v/>
      </c>
      <c r="T324" s="1462" t="s">
        <v>2285</v>
      </c>
      <c r="U324" s="1570"/>
      <c r="V324" s="1466" t="str">
        <f>IFERROR(VLOOKUP(K322,【参考】数式用!$A$5:$AB$27,MATCH(U324,【参考】数式用!$B$4:$AB$4,0)+1,0),"")</f>
        <v/>
      </c>
      <c r="W324" s="1468" t="s">
        <v>19</v>
      </c>
      <c r="X324" s="1538"/>
      <c r="Y324" s="1410" t="s">
        <v>10</v>
      </c>
      <c r="Z324" s="1538"/>
      <c r="AA324" s="1410" t="s">
        <v>45</v>
      </c>
      <c r="AB324" s="1538"/>
      <c r="AC324" s="1410" t="s">
        <v>10</v>
      </c>
      <c r="AD324" s="1538"/>
      <c r="AE324" s="1410" t="s">
        <v>2188</v>
      </c>
      <c r="AF324" s="1410" t="s">
        <v>24</v>
      </c>
      <c r="AG324" s="1410" t="str">
        <f>IF(X324&gt;=1,(AB324*12+AD324)-(X324*12+Z324)+1,"")</f>
        <v/>
      </c>
      <c r="AH324" s="1412" t="s">
        <v>38</v>
      </c>
      <c r="AI324" s="1414" t="str">
        <f t="shared" ref="AI324" si="303">IFERROR(ROUNDDOWN(ROUND(L322*V324,0)*M322,0)*AG324,"")</f>
        <v/>
      </c>
      <c r="AJ324" s="1578" t="str">
        <f>IFERROR(ROUNDDOWN(ROUND((L322*(V324-AX322)),0)*M322,0)*AG324,"")</f>
        <v/>
      </c>
      <c r="AK324" s="1497" t="str">
        <f>IFERROR(ROUNDDOWN(ROUNDDOWN(ROUND(L322*VLOOKUP(K322,【参考】数式用!$A$5:$AB$27,MATCH("新加算Ⅳ",【参考】数式用!$B$4:$AB$4,0)+1,0),0)*M322,0)*AG324*0.5,0),"")</f>
        <v/>
      </c>
      <c r="AL324" s="1580"/>
      <c r="AM324" s="1588" t="str">
        <f>IFERROR(IF('別紙様式2-2（４・５月分）'!Q247="ベア加算","", IF(OR(U324="新加算Ⅰ",U324="新加算Ⅱ",U324="新加算Ⅲ",U324="新加算Ⅳ"),ROUNDDOWN(ROUND(L322*VLOOKUP(K322,【参考】数式用!$A$5:$I$27,MATCH("ベア加算",【参考】数式用!$B$4:$I$4,0)+1,0),0)*M322,0)*AG324,"")),"")</f>
        <v/>
      </c>
      <c r="AN324" s="1544"/>
      <c r="AO324" s="1536"/>
      <c r="AP324" s="1548"/>
      <c r="AQ324" s="1536"/>
      <c r="AR324" s="1550"/>
      <c r="AS324" s="1552"/>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71"/>
      <c r="V325" s="1467"/>
      <c r="W325" s="1469"/>
      <c r="X325" s="1539"/>
      <c r="Y325" s="1411"/>
      <c r="Z325" s="1539"/>
      <c r="AA325" s="1411"/>
      <c r="AB325" s="1539"/>
      <c r="AC325" s="1411"/>
      <c r="AD325" s="1539"/>
      <c r="AE325" s="1411"/>
      <c r="AF325" s="1411"/>
      <c r="AG325" s="1411"/>
      <c r="AH325" s="1413"/>
      <c r="AI325" s="1415"/>
      <c r="AJ325" s="1579"/>
      <c r="AK325" s="1498"/>
      <c r="AL325" s="1581"/>
      <c r="AM325" s="1589"/>
      <c r="AN325" s="1545"/>
      <c r="AO325" s="1537"/>
      <c r="AP325" s="1549"/>
      <c r="AQ325" s="1537"/>
      <c r="AR325" s="1551"/>
      <c r="AS325" s="1553"/>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2275</v>
      </c>
      <c r="U326" s="1562" t="str">
        <f>IF('別紙様式2-3（６月以降分）'!U326="","",'別紙様式2-3（６月以降分）'!U326)</f>
        <v/>
      </c>
      <c r="V326" s="1460" t="str">
        <f>IFERROR(VLOOKUP(K326,【参考】数式用!$A$5:$AB$27,MATCH(U326,【参考】数式用!$B$4:$AB$4,0)+1,0),"")</f>
        <v/>
      </c>
      <c r="W326" s="1353" t="s">
        <v>19</v>
      </c>
      <c r="X326" s="1554">
        <f>'別紙様式2-3（６月以降分）'!X326</f>
        <v>6</v>
      </c>
      <c r="Y326" s="1357" t="s">
        <v>10</v>
      </c>
      <c r="Z326" s="1554">
        <f>'別紙様式2-3（６月以降分）'!Z326</f>
        <v>6</v>
      </c>
      <c r="AA326" s="1357" t="s">
        <v>45</v>
      </c>
      <c r="AB326" s="1554">
        <f>'別紙様式2-3（６月以降分）'!AB326</f>
        <v>7</v>
      </c>
      <c r="AC326" s="1357" t="s">
        <v>10</v>
      </c>
      <c r="AD326" s="1554">
        <f>'別紙様式2-3（６月以降分）'!AD326</f>
        <v>3</v>
      </c>
      <c r="AE326" s="1357" t="s">
        <v>2188</v>
      </c>
      <c r="AF326" s="1357" t="s">
        <v>24</v>
      </c>
      <c r="AG326" s="1357">
        <f>IF(X326&gt;=1,(AB326*12+AD326)-(X326*12+Z326)+1,"")</f>
        <v>10</v>
      </c>
      <c r="AH326" s="1363" t="s">
        <v>38</v>
      </c>
      <c r="AI326" s="1484" t="str">
        <f>'別紙様式2-3（６月以降分）'!AI326</f>
        <v/>
      </c>
      <c r="AJ326" s="1556" t="str">
        <f>'別紙様式2-3（６月以降分）'!AJ326</f>
        <v/>
      </c>
      <c r="AK326" s="1584">
        <f>'別紙様式2-3（６月以降分）'!AK326</f>
        <v>0</v>
      </c>
      <c r="AL326" s="1560" t="str">
        <f>IF('別紙様式2-3（６月以降分）'!AL326="","",'別紙様式2-3（６月以降分）'!AL326)</f>
        <v/>
      </c>
      <c r="AM326" s="1572">
        <f>'別紙様式2-3（６月以降分）'!AM326</f>
        <v>0</v>
      </c>
      <c r="AN326" s="1574"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3"/>
      <c r="V327" s="1461"/>
      <c r="W327" s="1354"/>
      <c r="X327" s="1555"/>
      <c r="Y327" s="1358"/>
      <c r="Z327" s="1555"/>
      <c r="AA327" s="1358"/>
      <c r="AB327" s="1555"/>
      <c r="AC327" s="1358"/>
      <c r="AD327" s="1555"/>
      <c r="AE327" s="1358"/>
      <c r="AF327" s="1358"/>
      <c r="AG327" s="1358"/>
      <c r="AH327" s="1364"/>
      <c r="AI327" s="1485"/>
      <c r="AJ327" s="1557"/>
      <c r="AK327" s="1585"/>
      <c r="AL327" s="1561"/>
      <c r="AM327" s="1573"/>
      <c r="AN327" s="1575"/>
      <c r="AO327" s="1407"/>
      <c r="AP327" s="1567"/>
      <c r="AQ327" s="1407"/>
      <c r="AR327" s="1587"/>
      <c r="AS327" s="1569"/>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2196</v>
      </c>
      <c r="Q328" s="1507" t="str">
        <f>IFERROR(VLOOKUP('別紙様式2-2（４・５月分）'!AR248,【参考】数式用!$AT$5:$AV$22,3,FALSE),"")</f>
        <v/>
      </c>
      <c r="R328" s="1391" t="s">
        <v>2207</v>
      </c>
      <c r="S328" s="1399" t="str">
        <f>IFERROR(VLOOKUP(K326,【参考】数式用!$A$5:$AB$27,MATCH(Q328,【参考】数式用!$B$4:$AB$4,0)+1,0),"")</f>
        <v/>
      </c>
      <c r="T328" s="1462" t="s">
        <v>2285</v>
      </c>
      <c r="U328" s="1570"/>
      <c r="V328" s="1466" t="str">
        <f>IFERROR(VLOOKUP(K326,【参考】数式用!$A$5:$AB$27,MATCH(U328,【参考】数式用!$B$4:$AB$4,0)+1,0),"")</f>
        <v/>
      </c>
      <c r="W328" s="1468" t="s">
        <v>19</v>
      </c>
      <c r="X328" s="1538"/>
      <c r="Y328" s="1410" t="s">
        <v>10</v>
      </c>
      <c r="Z328" s="1538"/>
      <c r="AA328" s="1410" t="s">
        <v>45</v>
      </c>
      <c r="AB328" s="1538"/>
      <c r="AC328" s="1410" t="s">
        <v>10</v>
      </c>
      <c r="AD328" s="1538"/>
      <c r="AE328" s="1410" t="s">
        <v>2188</v>
      </c>
      <c r="AF328" s="1410" t="s">
        <v>24</v>
      </c>
      <c r="AG328" s="1410" t="str">
        <f>IF(X328&gt;=1,(AB328*12+AD328)-(X328*12+Z328)+1,"")</f>
        <v/>
      </c>
      <c r="AH328" s="1412" t="s">
        <v>38</v>
      </c>
      <c r="AI328" s="1414" t="str">
        <f t="shared" ref="AI328" si="307">IFERROR(ROUNDDOWN(ROUND(L326*V328,0)*M326,0)*AG328,"")</f>
        <v/>
      </c>
      <c r="AJ328" s="1578" t="str">
        <f>IFERROR(ROUNDDOWN(ROUND((L326*(V328-AX326)),0)*M326,0)*AG328,"")</f>
        <v/>
      </c>
      <c r="AK328" s="1497" t="str">
        <f>IFERROR(ROUNDDOWN(ROUNDDOWN(ROUND(L326*VLOOKUP(K326,【参考】数式用!$A$5:$AB$27,MATCH("新加算Ⅳ",【参考】数式用!$B$4:$AB$4,0)+1,0),0)*M326,0)*AG328*0.5,0),"")</f>
        <v/>
      </c>
      <c r="AL328" s="1580"/>
      <c r="AM328" s="1588" t="str">
        <f>IFERROR(IF('別紙様式2-2（４・５月分）'!Q250="ベア加算","", IF(OR(U328="新加算Ⅰ",U328="新加算Ⅱ",U328="新加算Ⅲ",U328="新加算Ⅳ"),ROUNDDOWN(ROUND(L326*VLOOKUP(K326,【参考】数式用!$A$5:$I$27,MATCH("ベア加算",【参考】数式用!$B$4:$I$4,0)+1,0),0)*M326,0)*AG328,"")),"")</f>
        <v/>
      </c>
      <c r="AN328" s="1544"/>
      <c r="AO328" s="1536"/>
      <c r="AP328" s="1548"/>
      <c r="AQ328" s="1536"/>
      <c r="AR328" s="1550"/>
      <c r="AS328" s="1552"/>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71"/>
      <c r="V329" s="1467"/>
      <c r="W329" s="1469"/>
      <c r="X329" s="1539"/>
      <c r="Y329" s="1411"/>
      <c r="Z329" s="1539"/>
      <c r="AA329" s="1411"/>
      <c r="AB329" s="1539"/>
      <c r="AC329" s="1411"/>
      <c r="AD329" s="1539"/>
      <c r="AE329" s="1411"/>
      <c r="AF329" s="1411"/>
      <c r="AG329" s="1411"/>
      <c r="AH329" s="1413"/>
      <c r="AI329" s="1415"/>
      <c r="AJ329" s="1579"/>
      <c r="AK329" s="1498"/>
      <c r="AL329" s="1581"/>
      <c r="AM329" s="1589"/>
      <c r="AN329" s="1545"/>
      <c r="AO329" s="1537"/>
      <c r="AP329" s="1549"/>
      <c r="AQ329" s="1537"/>
      <c r="AR329" s="1551"/>
      <c r="AS329" s="1553"/>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2275</v>
      </c>
      <c r="U330" s="1562" t="str">
        <f>IF('別紙様式2-3（６月以降分）'!U330="","",'別紙様式2-3（６月以降分）'!U330)</f>
        <v/>
      </c>
      <c r="V330" s="1460" t="str">
        <f>IFERROR(VLOOKUP(K330,【参考】数式用!$A$5:$AB$27,MATCH(U330,【参考】数式用!$B$4:$AB$4,0)+1,0),"")</f>
        <v/>
      </c>
      <c r="W330" s="1353" t="s">
        <v>19</v>
      </c>
      <c r="X330" s="1554">
        <f>'別紙様式2-3（６月以降分）'!X330</f>
        <v>6</v>
      </c>
      <c r="Y330" s="1357" t="s">
        <v>10</v>
      </c>
      <c r="Z330" s="1554">
        <f>'別紙様式2-3（６月以降分）'!Z330</f>
        <v>6</v>
      </c>
      <c r="AA330" s="1357" t="s">
        <v>45</v>
      </c>
      <c r="AB330" s="1554">
        <f>'別紙様式2-3（６月以降分）'!AB330</f>
        <v>7</v>
      </c>
      <c r="AC330" s="1357" t="s">
        <v>10</v>
      </c>
      <c r="AD330" s="1554">
        <f>'別紙様式2-3（６月以降分）'!AD330</f>
        <v>3</v>
      </c>
      <c r="AE330" s="1357" t="s">
        <v>2188</v>
      </c>
      <c r="AF330" s="1357" t="s">
        <v>24</v>
      </c>
      <c r="AG330" s="1357">
        <f>IF(X330&gt;=1,(AB330*12+AD330)-(X330*12+Z330)+1,"")</f>
        <v>10</v>
      </c>
      <c r="AH330" s="1363" t="s">
        <v>38</v>
      </c>
      <c r="AI330" s="1484" t="str">
        <f>'別紙様式2-3（６月以降分）'!AI330</f>
        <v/>
      </c>
      <c r="AJ330" s="1556" t="str">
        <f>'別紙様式2-3（６月以降分）'!AJ330</f>
        <v/>
      </c>
      <c r="AK330" s="1584">
        <f>'別紙様式2-3（６月以降分）'!AK330</f>
        <v>0</v>
      </c>
      <c r="AL330" s="1560" t="str">
        <f>IF('別紙様式2-3（６月以降分）'!AL330="","",'別紙様式2-3（６月以降分）'!AL330)</f>
        <v/>
      </c>
      <c r="AM330" s="1572">
        <f>'別紙様式2-3（６月以降分）'!AM330</f>
        <v>0</v>
      </c>
      <c r="AN330" s="1574"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3"/>
      <c r="V331" s="1461"/>
      <c r="W331" s="1354"/>
      <c r="X331" s="1555"/>
      <c r="Y331" s="1358"/>
      <c r="Z331" s="1555"/>
      <c r="AA331" s="1358"/>
      <c r="AB331" s="1555"/>
      <c r="AC331" s="1358"/>
      <c r="AD331" s="1555"/>
      <c r="AE331" s="1358"/>
      <c r="AF331" s="1358"/>
      <c r="AG331" s="1358"/>
      <c r="AH331" s="1364"/>
      <c r="AI331" s="1485"/>
      <c r="AJ331" s="1557"/>
      <c r="AK331" s="1585"/>
      <c r="AL331" s="1561"/>
      <c r="AM331" s="1573"/>
      <c r="AN331" s="1575"/>
      <c r="AO331" s="1407"/>
      <c r="AP331" s="1567"/>
      <c r="AQ331" s="1407"/>
      <c r="AR331" s="1587"/>
      <c r="AS331" s="1569"/>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2196</v>
      </c>
      <c r="Q332" s="1507" t="str">
        <f>IFERROR(VLOOKUP('別紙様式2-2（４・５月分）'!AR251,【参考】数式用!$AT$5:$AV$22,3,FALSE),"")</f>
        <v/>
      </c>
      <c r="R332" s="1391" t="s">
        <v>2207</v>
      </c>
      <c r="S332" s="1397" t="str">
        <f>IFERROR(VLOOKUP(K330,【参考】数式用!$A$5:$AB$27,MATCH(Q332,【参考】数式用!$B$4:$AB$4,0)+1,0),"")</f>
        <v/>
      </c>
      <c r="T332" s="1462" t="s">
        <v>2285</v>
      </c>
      <c r="U332" s="1570"/>
      <c r="V332" s="1466" t="str">
        <f>IFERROR(VLOOKUP(K330,【参考】数式用!$A$5:$AB$27,MATCH(U332,【参考】数式用!$B$4:$AB$4,0)+1,0),"")</f>
        <v/>
      </c>
      <c r="W332" s="1468" t="s">
        <v>19</v>
      </c>
      <c r="X332" s="1538"/>
      <c r="Y332" s="1410" t="s">
        <v>10</v>
      </c>
      <c r="Z332" s="1538"/>
      <c r="AA332" s="1410" t="s">
        <v>45</v>
      </c>
      <c r="AB332" s="1538"/>
      <c r="AC332" s="1410" t="s">
        <v>10</v>
      </c>
      <c r="AD332" s="1538"/>
      <c r="AE332" s="1410" t="s">
        <v>2188</v>
      </c>
      <c r="AF332" s="1410" t="s">
        <v>24</v>
      </c>
      <c r="AG332" s="1410" t="str">
        <f>IF(X332&gt;=1,(AB332*12+AD332)-(X332*12+Z332)+1,"")</f>
        <v/>
      </c>
      <c r="AH332" s="1412" t="s">
        <v>38</v>
      </c>
      <c r="AI332" s="1414" t="str">
        <f t="shared" ref="AI332" si="311">IFERROR(ROUNDDOWN(ROUND(L330*V332,0)*M330,0)*AG332,"")</f>
        <v/>
      </c>
      <c r="AJ332" s="1578" t="str">
        <f>IFERROR(ROUNDDOWN(ROUND((L330*(V332-AX330)),0)*M330,0)*AG332,"")</f>
        <v/>
      </c>
      <c r="AK332" s="1497" t="str">
        <f>IFERROR(ROUNDDOWN(ROUNDDOWN(ROUND(L330*VLOOKUP(K330,【参考】数式用!$A$5:$AB$27,MATCH("新加算Ⅳ",【参考】数式用!$B$4:$AB$4,0)+1,0),0)*M330,0)*AG332*0.5,0),"")</f>
        <v/>
      </c>
      <c r="AL332" s="1580"/>
      <c r="AM332" s="1588" t="str">
        <f>IFERROR(IF('別紙様式2-2（４・５月分）'!Q253="ベア加算","", IF(OR(U332="新加算Ⅰ",U332="新加算Ⅱ",U332="新加算Ⅲ",U332="新加算Ⅳ"),ROUNDDOWN(ROUND(L330*VLOOKUP(K330,【参考】数式用!$A$5:$I$27,MATCH("ベア加算",【参考】数式用!$B$4:$I$4,0)+1,0),0)*M330,0)*AG332,"")),"")</f>
        <v/>
      </c>
      <c r="AN332" s="1544"/>
      <c r="AO332" s="1536"/>
      <c r="AP332" s="1548"/>
      <c r="AQ332" s="1536"/>
      <c r="AR332" s="1550"/>
      <c r="AS332" s="1552"/>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71"/>
      <c r="V333" s="1467"/>
      <c r="W333" s="1469"/>
      <c r="X333" s="1539"/>
      <c r="Y333" s="1411"/>
      <c r="Z333" s="1539"/>
      <c r="AA333" s="1411"/>
      <c r="AB333" s="1539"/>
      <c r="AC333" s="1411"/>
      <c r="AD333" s="1539"/>
      <c r="AE333" s="1411"/>
      <c r="AF333" s="1411"/>
      <c r="AG333" s="1411"/>
      <c r="AH333" s="1413"/>
      <c r="AI333" s="1415"/>
      <c r="AJ333" s="1579"/>
      <c r="AK333" s="1498"/>
      <c r="AL333" s="1581"/>
      <c r="AM333" s="1589"/>
      <c r="AN333" s="1545"/>
      <c r="AO333" s="1537"/>
      <c r="AP333" s="1549"/>
      <c r="AQ333" s="1537"/>
      <c r="AR333" s="1551"/>
      <c r="AS333" s="1553"/>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2275</v>
      </c>
      <c r="U334" s="1562" t="str">
        <f>IF('別紙様式2-3（６月以降分）'!U334="","",'別紙様式2-3（６月以降分）'!U334)</f>
        <v/>
      </c>
      <c r="V334" s="1460" t="str">
        <f>IFERROR(VLOOKUP(K334,【参考】数式用!$A$5:$AB$27,MATCH(U334,【参考】数式用!$B$4:$AB$4,0)+1,0),"")</f>
        <v/>
      </c>
      <c r="W334" s="1353" t="s">
        <v>19</v>
      </c>
      <c r="X334" s="1554">
        <f>'別紙様式2-3（６月以降分）'!X334</f>
        <v>6</v>
      </c>
      <c r="Y334" s="1357" t="s">
        <v>10</v>
      </c>
      <c r="Z334" s="1554">
        <f>'別紙様式2-3（６月以降分）'!Z334</f>
        <v>6</v>
      </c>
      <c r="AA334" s="1357" t="s">
        <v>45</v>
      </c>
      <c r="AB334" s="1554">
        <f>'別紙様式2-3（６月以降分）'!AB334</f>
        <v>7</v>
      </c>
      <c r="AC334" s="1357" t="s">
        <v>10</v>
      </c>
      <c r="AD334" s="1554">
        <f>'別紙様式2-3（６月以降分）'!AD334</f>
        <v>3</v>
      </c>
      <c r="AE334" s="1357" t="s">
        <v>2188</v>
      </c>
      <c r="AF334" s="1357" t="s">
        <v>24</v>
      </c>
      <c r="AG334" s="1357">
        <f>IF(X334&gt;=1,(AB334*12+AD334)-(X334*12+Z334)+1,"")</f>
        <v>10</v>
      </c>
      <c r="AH334" s="1363" t="s">
        <v>38</v>
      </c>
      <c r="AI334" s="1484" t="str">
        <f>'別紙様式2-3（６月以降分）'!AI334</f>
        <v/>
      </c>
      <c r="AJ334" s="1556" t="str">
        <f>'別紙様式2-3（６月以降分）'!AJ334</f>
        <v/>
      </c>
      <c r="AK334" s="1584">
        <f>'別紙様式2-3（６月以降分）'!AK334</f>
        <v>0</v>
      </c>
      <c r="AL334" s="1560" t="str">
        <f>IF('別紙様式2-3（６月以降分）'!AL334="","",'別紙様式2-3（６月以降分）'!AL334)</f>
        <v/>
      </c>
      <c r="AM334" s="1572">
        <f>'別紙様式2-3（６月以降分）'!AM334</f>
        <v>0</v>
      </c>
      <c r="AN334" s="1574"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3"/>
      <c r="V335" s="1461"/>
      <c r="W335" s="1354"/>
      <c r="X335" s="1555"/>
      <c r="Y335" s="1358"/>
      <c r="Z335" s="1555"/>
      <c r="AA335" s="1358"/>
      <c r="AB335" s="1555"/>
      <c r="AC335" s="1358"/>
      <c r="AD335" s="1555"/>
      <c r="AE335" s="1358"/>
      <c r="AF335" s="1358"/>
      <c r="AG335" s="1358"/>
      <c r="AH335" s="1364"/>
      <c r="AI335" s="1485"/>
      <c r="AJ335" s="1557"/>
      <c r="AK335" s="1585"/>
      <c r="AL335" s="1561"/>
      <c r="AM335" s="1573"/>
      <c r="AN335" s="1575"/>
      <c r="AO335" s="1407"/>
      <c r="AP335" s="1567"/>
      <c r="AQ335" s="1407"/>
      <c r="AR335" s="1587"/>
      <c r="AS335" s="1569"/>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2196</v>
      </c>
      <c r="Q336" s="1507" t="str">
        <f>IFERROR(VLOOKUP('別紙様式2-2（４・５月分）'!AR254,【参考】数式用!$AT$5:$AV$22,3,FALSE),"")</f>
        <v/>
      </c>
      <c r="R336" s="1391" t="s">
        <v>2207</v>
      </c>
      <c r="S336" s="1399" t="str">
        <f>IFERROR(VLOOKUP(K334,【参考】数式用!$A$5:$AB$27,MATCH(Q336,【参考】数式用!$B$4:$AB$4,0)+1,0),"")</f>
        <v/>
      </c>
      <c r="T336" s="1462" t="s">
        <v>2285</v>
      </c>
      <c r="U336" s="1570"/>
      <c r="V336" s="1466" t="str">
        <f>IFERROR(VLOOKUP(K334,【参考】数式用!$A$5:$AB$27,MATCH(U336,【参考】数式用!$B$4:$AB$4,0)+1,0),"")</f>
        <v/>
      </c>
      <c r="W336" s="1468" t="s">
        <v>19</v>
      </c>
      <c r="X336" s="1538"/>
      <c r="Y336" s="1410" t="s">
        <v>10</v>
      </c>
      <c r="Z336" s="1538"/>
      <c r="AA336" s="1410" t="s">
        <v>45</v>
      </c>
      <c r="AB336" s="1538"/>
      <c r="AC336" s="1410" t="s">
        <v>10</v>
      </c>
      <c r="AD336" s="1538"/>
      <c r="AE336" s="1410" t="s">
        <v>2188</v>
      </c>
      <c r="AF336" s="1410" t="s">
        <v>24</v>
      </c>
      <c r="AG336" s="1410" t="str">
        <f>IF(X336&gt;=1,(AB336*12+AD336)-(X336*12+Z336)+1,"")</f>
        <v/>
      </c>
      <c r="AH336" s="1412" t="s">
        <v>38</v>
      </c>
      <c r="AI336" s="1414" t="str">
        <f t="shared" ref="AI336" si="315">IFERROR(ROUNDDOWN(ROUND(L334*V336,0)*M334,0)*AG336,"")</f>
        <v/>
      </c>
      <c r="AJ336" s="1578" t="str">
        <f>IFERROR(ROUNDDOWN(ROUND((L334*(V336-AX334)),0)*M334,0)*AG336,"")</f>
        <v/>
      </c>
      <c r="AK336" s="1497" t="str">
        <f>IFERROR(ROUNDDOWN(ROUNDDOWN(ROUND(L334*VLOOKUP(K334,【参考】数式用!$A$5:$AB$27,MATCH("新加算Ⅳ",【参考】数式用!$B$4:$AB$4,0)+1,0),0)*M334,0)*AG336*0.5,0),"")</f>
        <v/>
      </c>
      <c r="AL336" s="1580"/>
      <c r="AM336" s="1588" t="str">
        <f>IFERROR(IF('別紙様式2-2（４・５月分）'!Q256="ベア加算","", IF(OR(U336="新加算Ⅰ",U336="新加算Ⅱ",U336="新加算Ⅲ",U336="新加算Ⅳ"),ROUNDDOWN(ROUND(L334*VLOOKUP(K334,【参考】数式用!$A$5:$I$27,MATCH("ベア加算",【参考】数式用!$B$4:$I$4,0)+1,0),0)*M334,0)*AG336,"")),"")</f>
        <v/>
      </c>
      <c r="AN336" s="1544"/>
      <c r="AO336" s="1536"/>
      <c r="AP336" s="1548"/>
      <c r="AQ336" s="1536"/>
      <c r="AR336" s="1550"/>
      <c r="AS336" s="1552"/>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71"/>
      <c r="V337" s="1467"/>
      <c r="W337" s="1469"/>
      <c r="X337" s="1539"/>
      <c r="Y337" s="1411"/>
      <c r="Z337" s="1539"/>
      <c r="AA337" s="1411"/>
      <c r="AB337" s="1539"/>
      <c r="AC337" s="1411"/>
      <c r="AD337" s="1539"/>
      <c r="AE337" s="1411"/>
      <c r="AF337" s="1411"/>
      <c r="AG337" s="1411"/>
      <c r="AH337" s="1413"/>
      <c r="AI337" s="1415"/>
      <c r="AJ337" s="1579"/>
      <c r="AK337" s="1498"/>
      <c r="AL337" s="1581"/>
      <c r="AM337" s="1589"/>
      <c r="AN337" s="1545"/>
      <c r="AO337" s="1537"/>
      <c r="AP337" s="1549"/>
      <c r="AQ337" s="1537"/>
      <c r="AR337" s="1551"/>
      <c r="AS337" s="1553"/>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2275</v>
      </c>
      <c r="U338" s="1562" t="str">
        <f>IF('別紙様式2-3（６月以降分）'!U338="","",'別紙様式2-3（６月以降分）'!U338)</f>
        <v/>
      </c>
      <c r="V338" s="1460" t="str">
        <f>IFERROR(VLOOKUP(K338,【参考】数式用!$A$5:$AB$27,MATCH(U338,【参考】数式用!$B$4:$AB$4,0)+1,0),"")</f>
        <v/>
      </c>
      <c r="W338" s="1353" t="s">
        <v>19</v>
      </c>
      <c r="X338" s="1554">
        <f>'別紙様式2-3（６月以降分）'!X338</f>
        <v>6</v>
      </c>
      <c r="Y338" s="1357" t="s">
        <v>10</v>
      </c>
      <c r="Z338" s="1554">
        <f>'別紙様式2-3（６月以降分）'!Z338</f>
        <v>6</v>
      </c>
      <c r="AA338" s="1357" t="s">
        <v>45</v>
      </c>
      <c r="AB338" s="1554">
        <f>'別紙様式2-3（６月以降分）'!AB338</f>
        <v>7</v>
      </c>
      <c r="AC338" s="1357" t="s">
        <v>10</v>
      </c>
      <c r="AD338" s="1554">
        <f>'別紙様式2-3（６月以降分）'!AD338</f>
        <v>3</v>
      </c>
      <c r="AE338" s="1357" t="s">
        <v>2188</v>
      </c>
      <c r="AF338" s="1357" t="s">
        <v>24</v>
      </c>
      <c r="AG338" s="1357">
        <f>IF(X338&gt;=1,(AB338*12+AD338)-(X338*12+Z338)+1,"")</f>
        <v>10</v>
      </c>
      <c r="AH338" s="1363" t="s">
        <v>38</v>
      </c>
      <c r="AI338" s="1484" t="str">
        <f>'別紙様式2-3（６月以降分）'!AI338</f>
        <v/>
      </c>
      <c r="AJ338" s="1556" t="str">
        <f>'別紙様式2-3（６月以降分）'!AJ338</f>
        <v/>
      </c>
      <c r="AK338" s="1584">
        <f>'別紙様式2-3（６月以降分）'!AK338</f>
        <v>0</v>
      </c>
      <c r="AL338" s="1560" t="str">
        <f>IF('別紙様式2-3（６月以降分）'!AL338="","",'別紙様式2-3（６月以降分）'!AL338)</f>
        <v/>
      </c>
      <c r="AM338" s="1572">
        <f>'別紙様式2-3（６月以降分）'!AM338</f>
        <v>0</v>
      </c>
      <c r="AN338" s="1574"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3"/>
      <c r="V339" s="1461"/>
      <c r="W339" s="1354"/>
      <c r="X339" s="1555"/>
      <c r="Y339" s="1358"/>
      <c r="Z339" s="1555"/>
      <c r="AA339" s="1358"/>
      <c r="AB339" s="1555"/>
      <c r="AC339" s="1358"/>
      <c r="AD339" s="1555"/>
      <c r="AE339" s="1358"/>
      <c r="AF339" s="1358"/>
      <c r="AG339" s="1358"/>
      <c r="AH339" s="1364"/>
      <c r="AI339" s="1485"/>
      <c r="AJ339" s="1557"/>
      <c r="AK339" s="1585"/>
      <c r="AL339" s="1561"/>
      <c r="AM339" s="1573"/>
      <c r="AN339" s="1575"/>
      <c r="AO339" s="1407"/>
      <c r="AP339" s="1567"/>
      <c r="AQ339" s="1407"/>
      <c r="AR339" s="1587"/>
      <c r="AS339" s="1569"/>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2196</v>
      </c>
      <c r="Q340" s="1507" t="str">
        <f>IFERROR(VLOOKUP('別紙様式2-2（４・５月分）'!AR257,【参考】数式用!$AT$5:$AV$22,3,FALSE),"")</f>
        <v/>
      </c>
      <c r="R340" s="1391" t="s">
        <v>2207</v>
      </c>
      <c r="S340" s="1397" t="str">
        <f>IFERROR(VLOOKUP(K338,【参考】数式用!$A$5:$AB$27,MATCH(Q340,【参考】数式用!$B$4:$AB$4,0)+1,0),"")</f>
        <v/>
      </c>
      <c r="T340" s="1462" t="s">
        <v>2285</v>
      </c>
      <c r="U340" s="1570"/>
      <c r="V340" s="1466" t="str">
        <f>IFERROR(VLOOKUP(K338,【参考】数式用!$A$5:$AB$27,MATCH(U340,【参考】数式用!$B$4:$AB$4,0)+1,0),"")</f>
        <v/>
      </c>
      <c r="W340" s="1468" t="s">
        <v>19</v>
      </c>
      <c r="X340" s="1538"/>
      <c r="Y340" s="1410" t="s">
        <v>10</v>
      </c>
      <c r="Z340" s="1538"/>
      <c r="AA340" s="1410" t="s">
        <v>45</v>
      </c>
      <c r="AB340" s="1538"/>
      <c r="AC340" s="1410" t="s">
        <v>10</v>
      </c>
      <c r="AD340" s="1538"/>
      <c r="AE340" s="1410" t="s">
        <v>2188</v>
      </c>
      <c r="AF340" s="1410" t="s">
        <v>24</v>
      </c>
      <c r="AG340" s="1410" t="str">
        <f>IF(X340&gt;=1,(AB340*12+AD340)-(X340*12+Z340)+1,"")</f>
        <v/>
      </c>
      <c r="AH340" s="1412" t="s">
        <v>38</v>
      </c>
      <c r="AI340" s="1414" t="str">
        <f t="shared" ref="AI340" si="319">IFERROR(ROUNDDOWN(ROUND(L338*V340,0)*M338,0)*AG340,"")</f>
        <v/>
      </c>
      <c r="AJ340" s="1578" t="str">
        <f>IFERROR(ROUNDDOWN(ROUND((L338*(V340-AX338)),0)*M338,0)*AG340,"")</f>
        <v/>
      </c>
      <c r="AK340" s="1497" t="str">
        <f>IFERROR(ROUNDDOWN(ROUNDDOWN(ROUND(L338*VLOOKUP(K338,【参考】数式用!$A$5:$AB$27,MATCH("新加算Ⅳ",【参考】数式用!$B$4:$AB$4,0)+1,0),0)*M338,0)*AG340*0.5,0),"")</f>
        <v/>
      </c>
      <c r="AL340" s="1580"/>
      <c r="AM340" s="1588" t="str">
        <f>IFERROR(IF('別紙様式2-2（４・５月分）'!Q259="ベア加算","", IF(OR(U340="新加算Ⅰ",U340="新加算Ⅱ",U340="新加算Ⅲ",U340="新加算Ⅳ"),ROUNDDOWN(ROUND(L338*VLOOKUP(K338,【参考】数式用!$A$5:$I$27,MATCH("ベア加算",【参考】数式用!$B$4:$I$4,0)+1,0),0)*M338,0)*AG340,"")),"")</f>
        <v/>
      </c>
      <c r="AN340" s="1544"/>
      <c r="AO340" s="1536"/>
      <c r="AP340" s="1548"/>
      <c r="AQ340" s="1536"/>
      <c r="AR340" s="1550"/>
      <c r="AS340" s="1552"/>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71"/>
      <c r="V341" s="1467"/>
      <c r="W341" s="1469"/>
      <c r="X341" s="1539"/>
      <c r="Y341" s="1411"/>
      <c r="Z341" s="1539"/>
      <c r="AA341" s="1411"/>
      <c r="AB341" s="1539"/>
      <c r="AC341" s="1411"/>
      <c r="AD341" s="1539"/>
      <c r="AE341" s="1411"/>
      <c r="AF341" s="1411"/>
      <c r="AG341" s="1411"/>
      <c r="AH341" s="1413"/>
      <c r="AI341" s="1415"/>
      <c r="AJ341" s="1579"/>
      <c r="AK341" s="1498"/>
      <c r="AL341" s="1581"/>
      <c r="AM341" s="1589"/>
      <c r="AN341" s="1545"/>
      <c r="AO341" s="1537"/>
      <c r="AP341" s="1549"/>
      <c r="AQ341" s="1537"/>
      <c r="AR341" s="1551"/>
      <c r="AS341" s="1553"/>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2275</v>
      </c>
      <c r="U342" s="1562" t="str">
        <f>IF('別紙様式2-3（６月以降分）'!U342="","",'別紙様式2-3（６月以降分）'!U342)</f>
        <v/>
      </c>
      <c r="V342" s="1460" t="str">
        <f>IFERROR(VLOOKUP(K342,【参考】数式用!$A$5:$AB$27,MATCH(U342,【参考】数式用!$B$4:$AB$4,0)+1,0),"")</f>
        <v/>
      </c>
      <c r="W342" s="1353" t="s">
        <v>19</v>
      </c>
      <c r="X342" s="1554">
        <f>'別紙様式2-3（６月以降分）'!X342</f>
        <v>6</v>
      </c>
      <c r="Y342" s="1357" t="s">
        <v>10</v>
      </c>
      <c r="Z342" s="1554">
        <f>'別紙様式2-3（６月以降分）'!Z342</f>
        <v>6</v>
      </c>
      <c r="AA342" s="1357" t="s">
        <v>45</v>
      </c>
      <c r="AB342" s="1554">
        <f>'別紙様式2-3（６月以降分）'!AB342</f>
        <v>7</v>
      </c>
      <c r="AC342" s="1357" t="s">
        <v>10</v>
      </c>
      <c r="AD342" s="1554">
        <f>'別紙様式2-3（６月以降分）'!AD342</f>
        <v>3</v>
      </c>
      <c r="AE342" s="1357" t="s">
        <v>2188</v>
      </c>
      <c r="AF342" s="1357" t="s">
        <v>24</v>
      </c>
      <c r="AG342" s="1357">
        <f>IF(X342&gt;=1,(AB342*12+AD342)-(X342*12+Z342)+1,"")</f>
        <v>10</v>
      </c>
      <c r="AH342" s="1363" t="s">
        <v>38</v>
      </c>
      <c r="AI342" s="1484" t="str">
        <f>'別紙様式2-3（６月以降分）'!AI342</f>
        <v/>
      </c>
      <c r="AJ342" s="1556" t="str">
        <f>'別紙様式2-3（６月以降分）'!AJ342</f>
        <v/>
      </c>
      <c r="AK342" s="1584">
        <f>'別紙様式2-3（６月以降分）'!AK342</f>
        <v>0</v>
      </c>
      <c r="AL342" s="1560" t="str">
        <f>IF('別紙様式2-3（６月以降分）'!AL342="","",'別紙様式2-3（６月以降分）'!AL342)</f>
        <v/>
      </c>
      <c r="AM342" s="1572">
        <f>'別紙様式2-3（６月以降分）'!AM342</f>
        <v>0</v>
      </c>
      <c r="AN342" s="1574"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3"/>
      <c r="V343" s="1461"/>
      <c r="W343" s="1354"/>
      <c r="X343" s="1555"/>
      <c r="Y343" s="1358"/>
      <c r="Z343" s="1555"/>
      <c r="AA343" s="1358"/>
      <c r="AB343" s="1555"/>
      <c r="AC343" s="1358"/>
      <c r="AD343" s="1555"/>
      <c r="AE343" s="1358"/>
      <c r="AF343" s="1358"/>
      <c r="AG343" s="1358"/>
      <c r="AH343" s="1364"/>
      <c r="AI343" s="1485"/>
      <c r="AJ343" s="1557"/>
      <c r="AK343" s="1585"/>
      <c r="AL343" s="1561"/>
      <c r="AM343" s="1573"/>
      <c r="AN343" s="1575"/>
      <c r="AO343" s="1407"/>
      <c r="AP343" s="1567"/>
      <c r="AQ343" s="1407"/>
      <c r="AR343" s="1587"/>
      <c r="AS343" s="1569"/>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2196</v>
      </c>
      <c r="Q344" s="1507" t="str">
        <f>IFERROR(VLOOKUP('別紙様式2-2（４・５月分）'!AR260,【参考】数式用!$AT$5:$AV$22,3,FALSE),"")</f>
        <v/>
      </c>
      <c r="R344" s="1391" t="s">
        <v>2207</v>
      </c>
      <c r="S344" s="1399" t="str">
        <f>IFERROR(VLOOKUP(K342,【参考】数式用!$A$5:$AB$27,MATCH(Q344,【参考】数式用!$B$4:$AB$4,0)+1,0),"")</f>
        <v/>
      </c>
      <c r="T344" s="1462" t="s">
        <v>2285</v>
      </c>
      <c r="U344" s="1570"/>
      <c r="V344" s="1466" t="str">
        <f>IFERROR(VLOOKUP(K342,【参考】数式用!$A$5:$AB$27,MATCH(U344,【参考】数式用!$B$4:$AB$4,0)+1,0),"")</f>
        <v/>
      </c>
      <c r="W344" s="1468" t="s">
        <v>19</v>
      </c>
      <c r="X344" s="1538"/>
      <c r="Y344" s="1410" t="s">
        <v>10</v>
      </c>
      <c r="Z344" s="1538"/>
      <c r="AA344" s="1410" t="s">
        <v>45</v>
      </c>
      <c r="AB344" s="1538"/>
      <c r="AC344" s="1410" t="s">
        <v>10</v>
      </c>
      <c r="AD344" s="1538"/>
      <c r="AE344" s="1410" t="s">
        <v>2188</v>
      </c>
      <c r="AF344" s="1410" t="s">
        <v>24</v>
      </c>
      <c r="AG344" s="1410" t="str">
        <f>IF(X344&gt;=1,(AB344*12+AD344)-(X344*12+Z344)+1,"")</f>
        <v/>
      </c>
      <c r="AH344" s="1412" t="s">
        <v>38</v>
      </c>
      <c r="AI344" s="1414" t="str">
        <f t="shared" ref="AI344" si="323">IFERROR(ROUNDDOWN(ROUND(L342*V344,0)*M342,0)*AG344,"")</f>
        <v/>
      </c>
      <c r="AJ344" s="1578" t="str">
        <f>IFERROR(ROUNDDOWN(ROUND((L342*(V344-AX342)),0)*M342,0)*AG344,"")</f>
        <v/>
      </c>
      <c r="AK344" s="1497" t="str">
        <f>IFERROR(ROUNDDOWN(ROUNDDOWN(ROUND(L342*VLOOKUP(K342,【参考】数式用!$A$5:$AB$27,MATCH("新加算Ⅳ",【参考】数式用!$B$4:$AB$4,0)+1,0),0)*M342,0)*AG344*0.5,0),"")</f>
        <v/>
      </c>
      <c r="AL344" s="1580"/>
      <c r="AM344" s="1588" t="str">
        <f>IFERROR(IF('別紙様式2-2（４・５月分）'!Q262="ベア加算","", IF(OR(U344="新加算Ⅰ",U344="新加算Ⅱ",U344="新加算Ⅲ",U344="新加算Ⅳ"),ROUNDDOWN(ROUND(L342*VLOOKUP(K342,【参考】数式用!$A$5:$I$27,MATCH("ベア加算",【参考】数式用!$B$4:$I$4,0)+1,0),0)*M342,0)*AG344,"")),"")</f>
        <v/>
      </c>
      <c r="AN344" s="1544"/>
      <c r="AO344" s="1536"/>
      <c r="AP344" s="1548"/>
      <c r="AQ344" s="1536"/>
      <c r="AR344" s="1550"/>
      <c r="AS344" s="1552"/>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71"/>
      <c r="V345" s="1467"/>
      <c r="W345" s="1469"/>
      <c r="X345" s="1539"/>
      <c r="Y345" s="1411"/>
      <c r="Z345" s="1539"/>
      <c r="AA345" s="1411"/>
      <c r="AB345" s="1539"/>
      <c r="AC345" s="1411"/>
      <c r="AD345" s="1539"/>
      <c r="AE345" s="1411"/>
      <c r="AF345" s="1411"/>
      <c r="AG345" s="1411"/>
      <c r="AH345" s="1413"/>
      <c r="AI345" s="1415"/>
      <c r="AJ345" s="1579"/>
      <c r="AK345" s="1498"/>
      <c r="AL345" s="1581"/>
      <c r="AM345" s="1589"/>
      <c r="AN345" s="1545"/>
      <c r="AO345" s="1537"/>
      <c r="AP345" s="1549"/>
      <c r="AQ345" s="1537"/>
      <c r="AR345" s="1551"/>
      <c r="AS345" s="1553"/>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2275</v>
      </c>
      <c r="U346" s="1562" t="str">
        <f>IF('別紙様式2-3（６月以降分）'!U346="","",'別紙様式2-3（６月以降分）'!U346)</f>
        <v/>
      </c>
      <c r="V346" s="1460" t="str">
        <f>IFERROR(VLOOKUP(K346,【参考】数式用!$A$5:$AB$27,MATCH(U346,【参考】数式用!$B$4:$AB$4,0)+1,0),"")</f>
        <v/>
      </c>
      <c r="W346" s="1353" t="s">
        <v>19</v>
      </c>
      <c r="X346" s="1554">
        <f>'別紙様式2-3（６月以降分）'!X346</f>
        <v>6</v>
      </c>
      <c r="Y346" s="1357" t="s">
        <v>10</v>
      </c>
      <c r="Z346" s="1554">
        <f>'別紙様式2-3（６月以降分）'!Z346</f>
        <v>6</v>
      </c>
      <c r="AA346" s="1357" t="s">
        <v>45</v>
      </c>
      <c r="AB346" s="1554">
        <f>'別紙様式2-3（６月以降分）'!AB346</f>
        <v>7</v>
      </c>
      <c r="AC346" s="1357" t="s">
        <v>10</v>
      </c>
      <c r="AD346" s="1554">
        <f>'別紙様式2-3（６月以降分）'!AD346</f>
        <v>3</v>
      </c>
      <c r="AE346" s="1357" t="s">
        <v>2188</v>
      </c>
      <c r="AF346" s="1357" t="s">
        <v>24</v>
      </c>
      <c r="AG346" s="1357">
        <f>IF(X346&gt;=1,(AB346*12+AD346)-(X346*12+Z346)+1,"")</f>
        <v>10</v>
      </c>
      <c r="AH346" s="1363" t="s">
        <v>38</v>
      </c>
      <c r="AI346" s="1484" t="str">
        <f>'別紙様式2-3（６月以降分）'!AI346</f>
        <v/>
      </c>
      <c r="AJ346" s="1556" t="str">
        <f>'別紙様式2-3（６月以降分）'!AJ346</f>
        <v/>
      </c>
      <c r="AK346" s="1584">
        <f>'別紙様式2-3（６月以降分）'!AK346</f>
        <v>0</v>
      </c>
      <c r="AL346" s="1560" t="str">
        <f>IF('別紙様式2-3（６月以降分）'!AL346="","",'別紙様式2-3（６月以降分）'!AL346)</f>
        <v/>
      </c>
      <c r="AM346" s="1572">
        <f>'別紙様式2-3（６月以降分）'!AM346</f>
        <v>0</v>
      </c>
      <c r="AN346" s="1574"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3"/>
      <c r="V347" s="1461"/>
      <c r="W347" s="1354"/>
      <c r="X347" s="1555"/>
      <c r="Y347" s="1358"/>
      <c r="Z347" s="1555"/>
      <c r="AA347" s="1358"/>
      <c r="AB347" s="1555"/>
      <c r="AC347" s="1358"/>
      <c r="AD347" s="1555"/>
      <c r="AE347" s="1358"/>
      <c r="AF347" s="1358"/>
      <c r="AG347" s="1358"/>
      <c r="AH347" s="1364"/>
      <c r="AI347" s="1485"/>
      <c r="AJ347" s="1557"/>
      <c r="AK347" s="1585"/>
      <c r="AL347" s="1561"/>
      <c r="AM347" s="1573"/>
      <c r="AN347" s="1575"/>
      <c r="AO347" s="1407"/>
      <c r="AP347" s="1567"/>
      <c r="AQ347" s="1407"/>
      <c r="AR347" s="1587"/>
      <c r="AS347" s="1569"/>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2196</v>
      </c>
      <c r="Q348" s="1507" t="str">
        <f>IFERROR(VLOOKUP('別紙様式2-2（４・５月分）'!AR263,【参考】数式用!$AT$5:$AV$22,3,FALSE),"")</f>
        <v/>
      </c>
      <c r="R348" s="1391" t="s">
        <v>2207</v>
      </c>
      <c r="S348" s="1397" t="str">
        <f>IFERROR(VLOOKUP(K346,【参考】数式用!$A$5:$AB$27,MATCH(Q348,【参考】数式用!$B$4:$AB$4,0)+1,0),"")</f>
        <v/>
      </c>
      <c r="T348" s="1462" t="s">
        <v>2285</v>
      </c>
      <c r="U348" s="1570"/>
      <c r="V348" s="1466" t="str">
        <f>IFERROR(VLOOKUP(K346,【参考】数式用!$A$5:$AB$27,MATCH(U348,【参考】数式用!$B$4:$AB$4,0)+1,0),"")</f>
        <v/>
      </c>
      <c r="W348" s="1468" t="s">
        <v>19</v>
      </c>
      <c r="X348" s="1538"/>
      <c r="Y348" s="1410" t="s">
        <v>10</v>
      </c>
      <c r="Z348" s="1538"/>
      <c r="AA348" s="1410" t="s">
        <v>45</v>
      </c>
      <c r="AB348" s="1538"/>
      <c r="AC348" s="1410" t="s">
        <v>10</v>
      </c>
      <c r="AD348" s="1538"/>
      <c r="AE348" s="1410" t="s">
        <v>2188</v>
      </c>
      <c r="AF348" s="1410" t="s">
        <v>24</v>
      </c>
      <c r="AG348" s="1410" t="str">
        <f>IF(X348&gt;=1,(AB348*12+AD348)-(X348*12+Z348)+1,"")</f>
        <v/>
      </c>
      <c r="AH348" s="1412" t="s">
        <v>38</v>
      </c>
      <c r="AI348" s="1414" t="str">
        <f t="shared" ref="AI348" si="327">IFERROR(ROUNDDOWN(ROUND(L346*V348,0)*M346,0)*AG348,"")</f>
        <v/>
      </c>
      <c r="AJ348" s="1578" t="str">
        <f>IFERROR(ROUNDDOWN(ROUND((L346*(V348-AX346)),0)*M346,0)*AG348,"")</f>
        <v/>
      </c>
      <c r="AK348" s="1497" t="str">
        <f>IFERROR(ROUNDDOWN(ROUNDDOWN(ROUND(L346*VLOOKUP(K346,【参考】数式用!$A$5:$AB$27,MATCH("新加算Ⅳ",【参考】数式用!$B$4:$AB$4,0)+1,0),0)*M346,0)*AG348*0.5,0),"")</f>
        <v/>
      </c>
      <c r="AL348" s="1580"/>
      <c r="AM348" s="1588" t="str">
        <f>IFERROR(IF('別紙様式2-2（４・５月分）'!Q265="ベア加算","", IF(OR(U348="新加算Ⅰ",U348="新加算Ⅱ",U348="新加算Ⅲ",U348="新加算Ⅳ"),ROUNDDOWN(ROUND(L346*VLOOKUP(K346,【参考】数式用!$A$5:$I$27,MATCH("ベア加算",【参考】数式用!$B$4:$I$4,0)+1,0),0)*M346,0)*AG348,"")),"")</f>
        <v/>
      </c>
      <c r="AN348" s="1544"/>
      <c r="AO348" s="1536"/>
      <c r="AP348" s="1548"/>
      <c r="AQ348" s="1536"/>
      <c r="AR348" s="1550"/>
      <c r="AS348" s="1552"/>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71"/>
      <c r="V349" s="1467"/>
      <c r="W349" s="1469"/>
      <c r="X349" s="1539"/>
      <c r="Y349" s="1411"/>
      <c r="Z349" s="1539"/>
      <c r="AA349" s="1411"/>
      <c r="AB349" s="1539"/>
      <c r="AC349" s="1411"/>
      <c r="AD349" s="1539"/>
      <c r="AE349" s="1411"/>
      <c r="AF349" s="1411"/>
      <c r="AG349" s="1411"/>
      <c r="AH349" s="1413"/>
      <c r="AI349" s="1415"/>
      <c r="AJ349" s="1579"/>
      <c r="AK349" s="1498"/>
      <c r="AL349" s="1581"/>
      <c r="AM349" s="1589"/>
      <c r="AN349" s="1545"/>
      <c r="AO349" s="1537"/>
      <c r="AP349" s="1549"/>
      <c r="AQ349" s="1537"/>
      <c r="AR349" s="1551"/>
      <c r="AS349" s="1553"/>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2275</v>
      </c>
      <c r="U350" s="1562" t="str">
        <f>IF('別紙様式2-3（６月以降分）'!U350="","",'別紙様式2-3（６月以降分）'!U350)</f>
        <v/>
      </c>
      <c r="V350" s="1460" t="str">
        <f>IFERROR(VLOOKUP(K350,【参考】数式用!$A$5:$AB$27,MATCH(U350,【参考】数式用!$B$4:$AB$4,0)+1,0),"")</f>
        <v/>
      </c>
      <c r="W350" s="1353" t="s">
        <v>19</v>
      </c>
      <c r="X350" s="1554">
        <f>'別紙様式2-3（６月以降分）'!X350</f>
        <v>6</v>
      </c>
      <c r="Y350" s="1357" t="s">
        <v>10</v>
      </c>
      <c r="Z350" s="1554">
        <f>'別紙様式2-3（６月以降分）'!Z350</f>
        <v>6</v>
      </c>
      <c r="AA350" s="1357" t="s">
        <v>45</v>
      </c>
      <c r="AB350" s="1554">
        <f>'別紙様式2-3（６月以降分）'!AB350</f>
        <v>7</v>
      </c>
      <c r="AC350" s="1357" t="s">
        <v>10</v>
      </c>
      <c r="AD350" s="1554">
        <f>'別紙様式2-3（６月以降分）'!AD350</f>
        <v>3</v>
      </c>
      <c r="AE350" s="1357" t="s">
        <v>2188</v>
      </c>
      <c r="AF350" s="1357" t="s">
        <v>24</v>
      </c>
      <c r="AG350" s="1357">
        <f>IF(X350&gt;=1,(AB350*12+AD350)-(X350*12+Z350)+1,"")</f>
        <v>10</v>
      </c>
      <c r="AH350" s="1363" t="s">
        <v>38</v>
      </c>
      <c r="AI350" s="1484" t="str">
        <f>'別紙様式2-3（６月以降分）'!AI350</f>
        <v/>
      </c>
      <c r="AJ350" s="1556" t="str">
        <f>'別紙様式2-3（６月以降分）'!AJ350</f>
        <v/>
      </c>
      <c r="AK350" s="1584">
        <f>'別紙様式2-3（６月以降分）'!AK350</f>
        <v>0</v>
      </c>
      <c r="AL350" s="1560" t="str">
        <f>IF('別紙様式2-3（６月以降分）'!AL350="","",'別紙様式2-3（６月以降分）'!AL350)</f>
        <v/>
      </c>
      <c r="AM350" s="1572">
        <f>'別紙様式2-3（６月以降分）'!AM350</f>
        <v>0</v>
      </c>
      <c r="AN350" s="1574"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3"/>
      <c r="V351" s="1461"/>
      <c r="W351" s="1354"/>
      <c r="X351" s="1555"/>
      <c r="Y351" s="1358"/>
      <c r="Z351" s="1555"/>
      <c r="AA351" s="1358"/>
      <c r="AB351" s="1555"/>
      <c r="AC351" s="1358"/>
      <c r="AD351" s="1555"/>
      <c r="AE351" s="1358"/>
      <c r="AF351" s="1358"/>
      <c r="AG351" s="1358"/>
      <c r="AH351" s="1364"/>
      <c r="AI351" s="1485"/>
      <c r="AJ351" s="1557"/>
      <c r="AK351" s="1585"/>
      <c r="AL351" s="1561"/>
      <c r="AM351" s="1573"/>
      <c r="AN351" s="1575"/>
      <c r="AO351" s="1407"/>
      <c r="AP351" s="1567"/>
      <c r="AQ351" s="1407"/>
      <c r="AR351" s="1587"/>
      <c r="AS351" s="1569"/>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2196</v>
      </c>
      <c r="Q352" s="1507" t="str">
        <f>IFERROR(VLOOKUP('別紙様式2-2（４・５月分）'!AR266,【参考】数式用!$AT$5:$AV$22,3,FALSE),"")</f>
        <v/>
      </c>
      <c r="R352" s="1391" t="s">
        <v>2207</v>
      </c>
      <c r="S352" s="1399" t="str">
        <f>IFERROR(VLOOKUP(K350,【参考】数式用!$A$5:$AB$27,MATCH(Q352,【参考】数式用!$B$4:$AB$4,0)+1,0),"")</f>
        <v/>
      </c>
      <c r="T352" s="1462" t="s">
        <v>2285</v>
      </c>
      <c r="U352" s="1570"/>
      <c r="V352" s="1466" t="str">
        <f>IFERROR(VLOOKUP(K350,【参考】数式用!$A$5:$AB$27,MATCH(U352,【参考】数式用!$B$4:$AB$4,0)+1,0),"")</f>
        <v/>
      </c>
      <c r="W352" s="1468" t="s">
        <v>19</v>
      </c>
      <c r="X352" s="1538"/>
      <c r="Y352" s="1410" t="s">
        <v>10</v>
      </c>
      <c r="Z352" s="1538"/>
      <c r="AA352" s="1410" t="s">
        <v>45</v>
      </c>
      <c r="AB352" s="1538"/>
      <c r="AC352" s="1410" t="s">
        <v>10</v>
      </c>
      <c r="AD352" s="1538"/>
      <c r="AE352" s="1410" t="s">
        <v>2188</v>
      </c>
      <c r="AF352" s="1410" t="s">
        <v>24</v>
      </c>
      <c r="AG352" s="1410" t="str">
        <f>IF(X352&gt;=1,(AB352*12+AD352)-(X352*12+Z352)+1,"")</f>
        <v/>
      </c>
      <c r="AH352" s="1412" t="s">
        <v>38</v>
      </c>
      <c r="AI352" s="1414" t="str">
        <f t="shared" ref="AI352" si="331">IFERROR(ROUNDDOWN(ROUND(L350*V352,0)*M350,0)*AG352,"")</f>
        <v/>
      </c>
      <c r="AJ352" s="1578" t="str">
        <f>IFERROR(ROUNDDOWN(ROUND((L350*(V352-AX350)),0)*M350,0)*AG352,"")</f>
        <v/>
      </c>
      <c r="AK352" s="1497" t="str">
        <f>IFERROR(ROUNDDOWN(ROUNDDOWN(ROUND(L350*VLOOKUP(K350,【参考】数式用!$A$5:$AB$27,MATCH("新加算Ⅳ",【参考】数式用!$B$4:$AB$4,0)+1,0),0)*M350,0)*AG352*0.5,0),"")</f>
        <v/>
      </c>
      <c r="AL352" s="1580"/>
      <c r="AM352" s="1588" t="str">
        <f>IFERROR(IF('別紙様式2-2（４・５月分）'!Q268="ベア加算","", IF(OR(U352="新加算Ⅰ",U352="新加算Ⅱ",U352="新加算Ⅲ",U352="新加算Ⅳ"),ROUNDDOWN(ROUND(L350*VLOOKUP(K350,【参考】数式用!$A$5:$I$27,MATCH("ベア加算",【参考】数式用!$B$4:$I$4,0)+1,0),0)*M350,0)*AG352,"")),"")</f>
        <v/>
      </c>
      <c r="AN352" s="1544"/>
      <c r="AO352" s="1536"/>
      <c r="AP352" s="1548"/>
      <c r="AQ352" s="1536"/>
      <c r="AR352" s="1550"/>
      <c r="AS352" s="1552"/>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71"/>
      <c r="V353" s="1467"/>
      <c r="W353" s="1469"/>
      <c r="X353" s="1539"/>
      <c r="Y353" s="1411"/>
      <c r="Z353" s="1539"/>
      <c r="AA353" s="1411"/>
      <c r="AB353" s="1539"/>
      <c r="AC353" s="1411"/>
      <c r="AD353" s="1539"/>
      <c r="AE353" s="1411"/>
      <c r="AF353" s="1411"/>
      <c r="AG353" s="1411"/>
      <c r="AH353" s="1413"/>
      <c r="AI353" s="1415"/>
      <c r="AJ353" s="1579"/>
      <c r="AK353" s="1498"/>
      <c r="AL353" s="1581"/>
      <c r="AM353" s="1589"/>
      <c r="AN353" s="1545"/>
      <c r="AO353" s="1537"/>
      <c r="AP353" s="1549"/>
      <c r="AQ353" s="1537"/>
      <c r="AR353" s="1551"/>
      <c r="AS353" s="1553"/>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2275</v>
      </c>
      <c r="U354" s="1562" t="str">
        <f>IF('別紙様式2-3（６月以降分）'!U354="","",'別紙様式2-3（６月以降分）'!U354)</f>
        <v/>
      </c>
      <c r="V354" s="1460" t="str">
        <f>IFERROR(VLOOKUP(K354,【参考】数式用!$A$5:$AB$27,MATCH(U354,【参考】数式用!$B$4:$AB$4,0)+1,0),"")</f>
        <v/>
      </c>
      <c r="W354" s="1353" t="s">
        <v>19</v>
      </c>
      <c r="X354" s="1554">
        <f>'別紙様式2-3（６月以降分）'!X354</f>
        <v>6</v>
      </c>
      <c r="Y354" s="1357" t="s">
        <v>10</v>
      </c>
      <c r="Z354" s="1554">
        <f>'別紙様式2-3（６月以降分）'!Z354</f>
        <v>6</v>
      </c>
      <c r="AA354" s="1357" t="s">
        <v>45</v>
      </c>
      <c r="AB354" s="1554">
        <f>'別紙様式2-3（６月以降分）'!AB354</f>
        <v>7</v>
      </c>
      <c r="AC354" s="1357" t="s">
        <v>10</v>
      </c>
      <c r="AD354" s="1554">
        <f>'別紙様式2-3（６月以降分）'!AD354</f>
        <v>3</v>
      </c>
      <c r="AE354" s="1357" t="s">
        <v>2188</v>
      </c>
      <c r="AF354" s="1357" t="s">
        <v>24</v>
      </c>
      <c r="AG354" s="1357">
        <f>IF(X354&gt;=1,(AB354*12+AD354)-(X354*12+Z354)+1,"")</f>
        <v>10</v>
      </c>
      <c r="AH354" s="1363" t="s">
        <v>38</v>
      </c>
      <c r="AI354" s="1484" t="str">
        <f>'別紙様式2-3（６月以降分）'!AI354</f>
        <v/>
      </c>
      <c r="AJ354" s="1556" t="str">
        <f>'別紙様式2-3（６月以降分）'!AJ354</f>
        <v/>
      </c>
      <c r="AK354" s="1584">
        <f>'別紙様式2-3（６月以降分）'!AK354</f>
        <v>0</v>
      </c>
      <c r="AL354" s="1560" t="str">
        <f>IF('別紙様式2-3（６月以降分）'!AL354="","",'別紙様式2-3（６月以降分）'!AL354)</f>
        <v/>
      </c>
      <c r="AM354" s="1572">
        <f>'別紙様式2-3（６月以降分）'!AM354</f>
        <v>0</v>
      </c>
      <c r="AN354" s="1574"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3"/>
      <c r="V355" s="1461"/>
      <c r="W355" s="1354"/>
      <c r="X355" s="1555"/>
      <c r="Y355" s="1358"/>
      <c r="Z355" s="1555"/>
      <c r="AA355" s="1358"/>
      <c r="AB355" s="1555"/>
      <c r="AC355" s="1358"/>
      <c r="AD355" s="1555"/>
      <c r="AE355" s="1358"/>
      <c r="AF355" s="1358"/>
      <c r="AG355" s="1358"/>
      <c r="AH355" s="1364"/>
      <c r="AI355" s="1485"/>
      <c r="AJ355" s="1557"/>
      <c r="AK355" s="1585"/>
      <c r="AL355" s="1561"/>
      <c r="AM355" s="1573"/>
      <c r="AN355" s="1575"/>
      <c r="AO355" s="1407"/>
      <c r="AP355" s="1567"/>
      <c r="AQ355" s="1407"/>
      <c r="AR355" s="1587"/>
      <c r="AS355" s="1569"/>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2196</v>
      </c>
      <c r="Q356" s="1507" t="str">
        <f>IFERROR(VLOOKUP('別紙様式2-2（４・５月分）'!AR269,【参考】数式用!$AT$5:$AV$22,3,FALSE),"")</f>
        <v/>
      </c>
      <c r="R356" s="1391" t="s">
        <v>2207</v>
      </c>
      <c r="S356" s="1397" t="str">
        <f>IFERROR(VLOOKUP(K354,【参考】数式用!$A$5:$AB$27,MATCH(Q356,【参考】数式用!$B$4:$AB$4,0)+1,0),"")</f>
        <v/>
      </c>
      <c r="T356" s="1462" t="s">
        <v>2285</v>
      </c>
      <c r="U356" s="1570"/>
      <c r="V356" s="1466" t="str">
        <f>IFERROR(VLOOKUP(K354,【参考】数式用!$A$5:$AB$27,MATCH(U356,【参考】数式用!$B$4:$AB$4,0)+1,0),"")</f>
        <v/>
      </c>
      <c r="W356" s="1468" t="s">
        <v>19</v>
      </c>
      <c r="X356" s="1538"/>
      <c r="Y356" s="1410" t="s">
        <v>10</v>
      </c>
      <c r="Z356" s="1538"/>
      <c r="AA356" s="1410" t="s">
        <v>45</v>
      </c>
      <c r="AB356" s="1538"/>
      <c r="AC356" s="1410" t="s">
        <v>10</v>
      </c>
      <c r="AD356" s="1538"/>
      <c r="AE356" s="1410" t="s">
        <v>2188</v>
      </c>
      <c r="AF356" s="1410" t="s">
        <v>24</v>
      </c>
      <c r="AG356" s="1410" t="str">
        <f>IF(X356&gt;=1,(AB356*12+AD356)-(X356*12+Z356)+1,"")</f>
        <v/>
      </c>
      <c r="AH356" s="1412" t="s">
        <v>38</v>
      </c>
      <c r="AI356" s="1414" t="str">
        <f t="shared" ref="AI356" si="335">IFERROR(ROUNDDOWN(ROUND(L354*V356,0)*M354,0)*AG356,"")</f>
        <v/>
      </c>
      <c r="AJ356" s="1578" t="str">
        <f>IFERROR(ROUNDDOWN(ROUND((L354*(V356-AX354)),0)*M354,0)*AG356,"")</f>
        <v/>
      </c>
      <c r="AK356" s="1497" t="str">
        <f>IFERROR(ROUNDDOWN(ROUNDDOWN(ROUND(L354*VLOOKUP(K354,【参考】数式用!$A$5:$AB$27,MATCH("新加算Ⅳ",【参考】数式用!$B$4:$AB$4,0)+1,0),0)*M354,0)*AG356*0.5,0),"")</f>
        <v/>
      </c>
      <c r="AL356" s="1580"/>
      <c r="AM356" s="1588" t="str">
        <f>IFERROR(IF('別紙様式2-2（４・５月分）'!Q271="ベア加算","", IF(OR(U356="新加算Ⅰ",U356="新加算Ⅱ",U356="新加算Ⅲ",U356="新加算Ⅳ"),ROUNDDOWN(ROUND(L354*VLOOKUP(K354,【参考】数式用!$A$5:$I$27,MATCH("ベア加算",【参考】数式用!$B$4:$I$4,0)+1,0),0)*M354,0)*AG356,"")),"")</f>
        <v/>
      </c>
      <c r="AN356" s="1544"/>
      <c r="AO356" s="1536"/>
      <c r="AP356" s="1548"/>
      <c r="AQ356" s="1536"/>
      <c r="AR356" s="1550"/>
      <c r="AS356" s="1552"/>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71"/>
      <c r="V357" s="1467"/>
      <c r="W357" s="1469"/>
      <c r="X357" s="1539"/>
      <c r="Y357" s="1411"/>
      <c r="Z357" s="1539"/>
      <c r="AA357" s="1411"/>
      <c r="AB357" s="1539"/>
      <c r="AC357" s="1411"/>
      <c r="AD357" s="1539"/>
      <c r="AE357" s="1411"/>
      <c r="AF357" s="1411"/>
      <c r="AG357" s="1411"/>
      <c r="AH357" s="1413"/>
      <c r="AI357" s="1415"/>
      <c r="AJ357" s="1579"/>
      <c r="AK357" s="1498"/>
      <c r="AL357" s="1581"/>
      <c r="AM357" s="1589"/>
      <c r="AN357" s="1545"/>
      <c r="AO357" s="1537"/>
      <c r="AP357" s="1549"/>
      <c r="AQ357" s="1537"/>
      <c r="AR357" s="1551"/>
      <c r="AS357" s="1553"/>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2275</v>
      </c>
      <c r="U358" s="1562" t="str">
        <f>IF('別紙様式2-3（６月以降分）'!U358="","",'別紙様式2-3（６月以降分）'!U358)</f>
        <v/>
      </c>
      <c r="V358" s="1460" t="str">
        <f>IFERROR(VLOOKUP(K358,【参考】数式用!$A$5:$AB$27,MATCH(U358,【参考】数式用!$B$4:$AB$4,0)+1,0),"")</f>
        <v/>
      </c>
      <c r="W358" s="1353" t="s">
        <v>19</v>
      </c>
      <c r="X358" s="1554">
        <f>'別紙様式2-3（６月以降分）'!X358</f>
        <v>6</v>
      </c>
      <c r="Y358" s="1357" t="s">
        <v>10</v>
      </c>
      <c r="Z358" s="1554">
        <f>'別紙様式2-3（６月以降分）'!Z358</f>
        <v>6</v>
      </c>
      <c r="AA358" s="1357" t="s">
        <v>45</v>
      </c>
      <c r="AB358" s="1554">
        <f>'別紙様式2-3（６月以降分）'!AB358</f>
        <v>7</v>
      </c>
      <c r="AC358" s="1357" t="s">
        <v>10</v>
      </c>
      <c r="AD358" s="1554">
        <f>'別紙様式2-3（６月以降分）'!AD358</f>
        <v>3</v>
      </c>
      <c r="AE358" s="1357" t="s">
        <v>2188</v>
      </c>
      <c r="AF358" s="1357" t="s">
        <v>24</v>
      </c>
      <c r="AG358" s="1357">
        <f>IF(X358&gt;=1,(AB358*12+AD358)-(X358*12+Z358)+1,"")</f>
        <v>10</v>
      </c>
      <c r="AH358" s="1363" t="s">
        <v>38</v>
      </c>
      <c r="AI358" s="1484" t="str">
        <f>'別紙様式2-3（６月以降分）'!AI358</f>
        <v/>
      </c>
      <c r="AJ358" s="1556" t="str">
        <f>'別紙様式2-3（６月以降分）'!AJ358</f>
        <v/>
      </c>
      <c r="AK358" s="1584">
        <f>'別紙様式2-3（６月以降分）'!AK358</f>
        <v>0</v>
      </c>
      <c r="AL358" s="1560" t="str">
        <f>IF('別紙様式2-3（６月以降分）'!AL358="","",'別紙様式2-3（６月以降分）'!AL358)</f>
        <v/>
      </c>
      <c r="AM358" s="1572">
        <f>'別紙様式2-3（６月以降分）'!AM358</f>
        <v>0</v>
      </c>
      <c r="AN358" s="1574"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3"/>
      <c r="V359" s="1461"/>
      <c r="W359" s="1354"/>
      <c r="X359" s="1555"/>
      <c r="Y359" s="1358"/>
      <c r="Z359" s="1555"/>
      <c r="AA359" s="1358"/>
      <c r="AB359" s="1555"/>
      <c r="AC359" s="1358"/>
      <c r="AD359" s="1555"/>
      <c r="AE359" s="1358"/>
      <c r="AF359" s="1358"/>
      <c r="AG359" s="1358"/>
      <c r="AH359" s="1364"/>
      <c r="AI359" s="1485"/>
      <c r="AJ359" s="1557"/>
      <c r="AK359" s="1585"/>
      <c r="AL359" s="1561"/>
      <c r="AM359" s="1573"/>
      <c r="AN359" s="1575"/>
      <c r="AO359" s="1407"/>
      <c r="AP359" s="1567"/>
      <c r="AQ359" s="1407"/>
      <c r="AR359" s="1587"/>
      <c r="AS359" s="1569"/>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2196</v>
      </c>
      <c r="Q360" s="1507" t="str">
        <f>IFERROR(VLOOKUP('別紙様式2-2（４・５月分）'!AR272,【参考】数式用!$AT$5:$AV$22,3,FALSE),"")</f>
        <v/>
      </c>
      <c r="R360" s="1391" t="s">
        <v>2207</v>
      </c>
      <c r="S360" s="1399" t="str">
        <f>IFERROR(VLOOKUP(K358,【参考】数式用!$A$5:$AB$27,MATCH(Q360,【参考】数式用!$B$4:$AB$4,0)+1,0),"")</f>
        <v/>
      </c>
      <c r="T360" s="1462" t="s">
        <v>2285</v>
      </c>
      <c r="U360" s="1570"/>
      <c r="V360" s="1466" t="str">
        <f>IFERROR(VLOOKUP(K358,【参考】数式用!$A$5:$AB$27,MATCH(U360,【参考】数式用!$B$4:$AB$4,0)+1,0),"")</f>
        <v/>
      </c>
      <c r="W360" s="1468" t="s">
        <v>19</v>
      </c>
      <c r="X360" s="1538"/>
      <c r="Y360" s="1410" t="s">
        <v>10</v>
      </c>
      <c r="Z360" s="1538"/>
      <c r="AA360" s="1410" t="s">
        <v>45</v>
      </c>
      <c r="AB360" s="1538"/>
      <c r="AC360" s="1410" t="s">
        <v>10</v>
      </c>
      <c r="AD360" s="1538"/>
      <c r="AE360" s="1410" t="s">
        <v>2188</v>
      </c>
      <c r="AF360" s="1410" t="s">
        <v>24</v>
      </c>
      <c r="AG360" s="1410" t="str">
        <f>IF(X360&gt;=1,(AB360*12+AD360)-(X360*12+Z360)+1,"")</f>
        <v/>
      </c>
      <c r="AH360" s="1412" t="s">
        <v>38</v>
      </c>
      <c r="AI360" s="1414" t="str">
        <f t="shared" ref="AI360" si="339">IFERROR(ROUNDDOWN(ROUND(L358*V360,0)*M358,0)*AG360,"")</f>
        <v/>
      </c>
      <c r="AJ360" s="1578" t="str">
        <f>IFERROR(ROUNDDOWN(ROUND((L358*(V360-AX358)),0)*M358,0)*AG360,"")</f>
        <v/>
      </c>
      <c r="AK360" s="1497" t="str">
        <f>IFERROR(ROUNDDOWN(ROUNDDOWN(ROUND(L358*VLOOKUP(K358,【参考】数式用!$A$5:$AB$27,MATCH("新加算Ⅳ",【参考】数式用!$B$4:$AB$4,0)+1,0),0)*M358,0)*AG360*0.5,0),"")</f>
        <v/>
      </c>
      <c r="AL360" s="1580"/>
      <c r="AM360" s="1588" t="str">
        <f>IFERROR(IF('別紙様式2-2（４・５月分）'!Q274="ベア加算","", IF(OR(U360="新加算Ⅰ",U360="新加算Ⅱ",U360="新加算Ⅲ",U360="新加算Ⅳ"),ROUNDDOWN(ROUND(L358*VLOOKUP(K358,【参考】数式用!$A$5:$I$27,MATCH("ベア加算",【参考】数式用!$B$4:$I$4,0)+1,0),0)*M358,0)*AG360,"")),"")</f>
        <v/>
      </c>
      <c r="AN360" s="1544"/>
      <c r="AO360" s="1536"/>
      <c r="AP360" s="1548"/>
      <c r="AQ360" s="1536"/>
      <c r="AR360" s="1550"/>
      <c r="AS360" s="1552"/>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71"/>
      <c r="V361" s="1467"/>
      <c r="W361" s="1469"/>
      <c r="X361" s="1539"/>
      <c r="Y361" s="1411"/>
      <c r="Z361" s="1539"/>
      <c r="AA361" s="1411"/>
      <c r="AB361" s="1539"/>
      <c r="AC361" s="1411"/>
      <c r="AD361" s="1539"/>
      <c r="AE361" s="1411"/>
      <c r="AF361" s="1411"/>
      <c r="AG361" s="1411"/>
      <c r="AH361" s="1413"/>
      <c r="AI361" s="1415"/>
      <c r="AJ361" s="1579"/>
      <c r="AK361" s="1498"/>
      <c r="AL361" s="1581"/>
      <c r="AM361" s="1589"/>
      <c r="AN361" s="1545"/>
      <c r="AO361" s="1537"/>
      <c r="AP361" s="1549"/>
      <c r="AQ361" s="1537"/>
      <c r="AR361" s="1551"/>
      <c r="AS361" s="1553"/>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2275</v>
      </c>
      <c r="U362" s="1562" t="str">
        <f>IF('別紙様式2-3（６月以降分）'!U362="","",'別紙様式2-3（６月以降分）'!U362)</f>
        <v/>
      </c>
      <c r="V362" s="1460" t="str">
        <f>IFERROR(VLOOKUP(K362,【参考】数式用!$A$5:$AB$27,MATCH(U362,【参考】数式用!$B$4:$AB$4,0)+1,0),"")</f>
        <v/>
      </c>
      <c r="W362" s="1353" t="s">
        <v>19</v>
      </c>
      <c r="X362" s="1554">
        <f>'別紙様式2-3（６月以降分）'!X362</f>
        <v>6</v>
      </c>
      <c r="Y362" s="1357" t="s">
        <v>10</v>
      </c>
      <c r="Z362" s="1554">
        <f>'別紙様式2-3（６月以降分）'!Z362</f>
        <v>6</v>
      </c>
      <c r="AA362" s="1357" t="s">
        <v>45</v>
      </c>
      <c r="AB362" s="1554">
        <f>'別紙様式2-3（６月以降分）'!AB362</f>
        <v>7</v>
      </c>
      <c r="AC362" s="1357" t="s">
        <v>10</v>
      </c>
      <c r="AD362" s="1554">
        <f>'別紙様式2-3（６月以降分）'!AD362</f>
        <v>3</v>
      </c>
      <c r="AE362" s="1357" t="s">
        <v>2188</v>
      </c>
      <c r="AF362" s="1357" t="s">
        <v>24</v>
      </c>
      <c r="AG362" s="1357">
        <f>IF(X362&gt;=1,(AB362*12+AD362)-(X362*12+Z362)+1,"")</f>
        <v>10</v>
      </c>
      <c r="AH362" s="1363" t="s">
        <v>38</v>
      </c>
      <c r="AI362" s="1484" t="str">
        <f>'別紙様式2-3（６月以降分）'!AI362</f>
        <v/>
      </c>
      <c r="AJ362" s="1556" t="str">
        <f>'別紙様式2-3（６月以降分）'!AJ362</f>
        <v/>
      </c>
      <c r="AK362" s="1584">
        <f>'別紙様式2-3（６月以降分）'!AK362</f>
        <v>0</v>
      </c>
      <c r="AL362" s="1560" t="str">
        <f>IF('別紙様式2-3（６月以降分）'!AL362="","",'別紙様式2-3（６月以降分）'!AL362)</f>
        <v/>
      </c>
      <c r="AM362" s="1572">
        <f>'別紙様式2-3（６月以降分）'!AM362</f>
        <v>0</v>
      </c>
      <c r="AN362" s="1574"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3"/>
      <c r="V363" s="1461"/>
      <c r="W363" s="1354"/>
      <c r="X363" s="1555"/>
      <c r="Y363" s="1358"/>
      <c r="Z363" s="1555"/>
      <c r="AA363" s="1358"/>
      <c r="AB363" s="1555"/>
      <c r="AC363" s="1358"/>
      <c r="AD363" s="1555"/>
      <c r="AE363" s="1358"/>
      <c r="AF363" s="1358"/>
      <c r="AG363" s="1358"/>
      <c r="AH363" s="1364"/>
      <c r="AI363" s="1485"/>
      <c r="AJ363" s="1557"/>
      <c r="AK363" s="1585"/>
      <c r="AL363" s="1561"/>
      <c r="AM363" s="1573"/>
      <c r="AN363" s="1575"/>
      <c r="AO363" s="1407"/>
      <c r="AP363" s="1567"/>
      <c r="AQ363" s="1407"/>
      <c r="AR363" s="1587"/>
      <c r="AS363" s="1569"/>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2196</v>
      </c>
      <c r="Q364" s="1507" t="str">
        <f>IFERROR(VLOOKUP('別紙様式2-2（４・５月分）'!AR275,【参考】数式用!$AT$5:$AV$22,3,FALSE),"")</f>
        <v/>
      </c>
      <c r="R364" s="1391" t="s">
        <v>2207</v>
      </c>
      <c r="S364" s="1397" t="str">
        <f>IFERROR(VLOOKUP(K362,【参考】数式用!$A$5:$AB$27,MATCH(Q364,【参考】数式用!$B$4:$AB$4,0)+1,0),"")</f>
        <v/>
      </c>
      <c r="T364" s="1462" t="s">
        <v>2285</v>
      </c>
      <c r="U364" s="1570"/>
      <c r="V364" s="1466" t="str">
        <f>IFERROR(VLOOKUP(K362,【参考】数式用!$A$5:$AB$27,MATCH(U364,【参考】数式用!$B$4:$AB$4,0)+1,0),"")</f>
        <v/>
      </c>
      <c r="W364" s="1468" t="s">
        <v>19</v>
      </c>
      <c r="X364" s="1538"/>
      <c r="Y364" s="1410" t="s">
        <v>10</v>
      </c>
      <c r="Z364" s="1538"/>
      <c r="AA364" s="1410" t="s">
        <v>45</v>
      </c>
      <c r="AB364" s="1538"/>
      <c r="AC364" s="1410" t="s">
        <v>10</v>
      </c>
      <c r="AD364" s="1538"/>
      <c r="AE364" s="1410" t="s">
        <v>2188</v>
      </c>
      <c r="AF364" s="1410" t="s">
        <v>24</v>
      </c>
      <c r="AG364" s="1410" t="str">
        <f>IF(X364&gt;=1,(AB364*12+AD364)-(X364*12+Z364)+1,"")</f>
        <v/>
      </c>
      <c r="AH364" s="1412" t="s">
        <v>38</v>
      </c>
      <c r="AI364" s="1414" t="str">
        <f t="shared" ref="AI364" si="343">IFERROR(ROUNDDOWN(ROUND(L362*V364,0)*M362,0)*AG364,"")</f>
        <v/>
      </c>
      <c r="AJ364" s="1578" t="str">
        <f>IFERROR(ROUNDDOWN(ROUND((L362*(V364-AX362)),0)*M362,0)*AG364,"")</f>
        <v/>
      </c>
      <c r="AK364" s="1497" t="str">
        <f>IFERROR(ROUNDDOWN(ROUNDDOWN(ROUND(L362*VLOOKUP(K362,【参考】数式用!$A$5:$AB$27,MATCH("新加算Ⅳ",【参考】数式用!$B$4:$AB$4,0)+1,0),0)*M362,0)*AG364*0.5,0),"")</f>
        <v/>
      </c>
      <c r="AL364" s="1580"/>
      <c r="AM364" s="1588" t="str">
        <f>IFERROR(IF('別紙様式2-2（４・５月分）'!Q277="ベア加算","", IF(OR(U364="新加算Ⅰ",U364="新加算Ⅱ",U364="新加算Ⅲ",U364="新加算Ⅳ"),ROUNDDOWN(ROUND(L362*VLOOKUP(K362,【参考】数式用!$A$5:$I$27,MATCH("ベア加算",【参考】数式用!$B$4:$I$4,0)+1,0),0)*M362,0)*AG364,"")),"")</f>
        <v/>
      </c>
      <c r="AN364" s="1544"/>
      <c r="AO364" s="1536"/>
      <c r="AP364" s="1548"/>
      <c r="AQ364" s="1536"/>
      <c r="AR364" s="1550"/>
      <c r="AS364" s="1552"/>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71"/>
      <c r="V365" s="1467"/>
      <c r="W365" s="1469"/>
      <c r="X365" s="1539"/>
      <c r="Y365" s="1411"/>
      <c r="Z365" s="1539"/>
      <c r="AA365" s="1411"/>
      <c r="AB365" s="1539"/>
      <c r="AC365" s="1411"/>
      <c r="AD365" s="1539"/>
      <c r="AE365" s="1411"/>
      <c r="AF365" s="1411"/>
      <c r="AG365" s="1411"/>
      <c r="AH365" s="1413"/>
      <c r="AI365" s="1415"/>
      <c r="AJ365" s="1579"/>
      <c r="AK365" s="1498"/>
      <c r="AL365" s="1581"/>
      <c r="AM365" s="1589"/>
      <c r="AN365" s="1545"/>
      <c r="AO365" s="1537"/>
      <c r="AP365" s="1549"/>
      <c r="AQ365" s="1537"/>
      <c r="AR365" s="1551"/>
      <c r="AS365" s="1553"/>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2275</v>
      </c>
      <c r="U366" s="1562" t="str">
        <f>IF('別紙様式2-3（６月以降分）'!U366="","",'別紙様式2-3（６月以降分）'!U366)</f>
        <v/>
      </c>
      <c r="V366" s="1460" t="str">
        <f>IFERROR(VLOOKUP(K366,【参考】数式用!$A$5:$AB$27,MATCH(U366,【参考】数式用!$B$4:$AB$4,0)+1,0),"")</f>
        <v/>
      </c>
      <c r="W366" s="1353" t="s">
        <v>19</v>
      </c>
      <c r="X366" s="1554">
        <f>'別紙様式2-3（６月以降分）'!X366</f>
        <v>6</v>
      </c>
      <c r="Y366" s="1357" t="s">
        <v>10</v>
      </c>
      <c r="Z366" s="1554">
        <f>'別紙様式2-3（６月以降分）'!Z366</f>
        <v>6</v>
      </c>
      <c r="AA366" s="1357" t="s">
        <v>45</v>
      </c>
      <c r="AB366" s="1554">
        <f>'別紙様式2-3（６月以降分）'!AB366</f>
        <v>7</v>
      </c>
      <c r="AC366" s="1357" t="s">
        <v>10</v>
      </c>
      <c r="AD366" s="1554">
        <f>'別紙様式2-3（６月以降分）'!AD366</f>
        <v>3</v>
      </c>
      <c r="AE366" s="1357" t="s">
        <v>2188</v>
      </c>
      <c r="AF366" s="1357" t="s">
        <v>24</v>
      </c>
      <c r="AG366" s="1357">
        <f>IF(X366&gt;=1,(AB366*12+AD366)-(X366*12+Z366)+1,"")</f>
        <v>10</v>
      </c>
      <c r="AH366" s="1363" t="s">
        <v>38</v>
      </c>
      <c r="AI366" s="1484" t="str">
        <f>'別紙様式2-3（６月以降分）'!AI366</f>
        <v/>
      </c>
      <c r="AJ366" s="1556" t="str">
        <f>'別紙様式2-3（６月以降分）'!AJ366</f>
        <v/>
      </c>
      <c r="AK366" s="1584">
        <f>'別紙様式2-3（６月以降分）'!AK366</f>
        <v>0</v>
      </c>
      <c r="AL366" s="1560" t="str">
        <f>IF('別紙様式2-3（６月以降分）'!AL366="","",'別紙様式2-3（６月以降分）'!AL366)</f>
        <v/>
      </c>
      <c r="AM366" s="1572">
        <f>'別紙様式2-3（６月以降分）'!AM366</f>
        <v>0</v>
      </c>
      <c r="AN366" s="1574"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3"/>
      <c r="V367" s="1461"/>
      <c r="W367" s="1354"/>
      <c r="X367" s="1555"/>
      <c r="Y367" s="1358"/>
      <c r="Z367" s="1555"/>
      <c r="AA367" s="1358"/>
      <c r="AB367" s="1555"/>
      <c r="AC367" s="1358"/>
      <c r="AD367" s="1555"/>
      <c r="AE367" s="1358"/>
      <c r="AF367" s="1358"/>
      <c r="AG367" s="1358"/>
      <c r="AH367" s="1364"/>
      <c r="AI367" s="1485"/>
      <c r="AJ367" s="1557"/>
      <c r="AK367" s="1585"/>
      <c r="AL367" s="1561"/>
      <c r="AM367" s="1573"/>
      <c r="AN367" s="1575"/>
      <c r="AO367" s="1407"/>
      <c r="AP367" s="1567"/>
      <c r="AQ367" s="1407"/>
      <c r="AR367" s="1587"/>
      <c r="AS367" s="1569"/>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2196</v>
      </c>
      <c r="Q368" s="1507" t="str">
        <f>IFERROR(VLOOKUP('別紙様式2-2（４・５月分）'!AR278,【参考】数式用!$AT$5:$AV$22,3,FALSE),"")</f>
        <v/>
      </c>
      <c r="R368" s="1391" t="s">
        <v>2207</v>
      </c>
      <c r="S368" s="1399" t="str">
        <f>IFERROR(VLOOKUP(K366,【参考】数式用!$A$5:$AB$27,MATCH(Q368,【参考】数式用!$B$4:$AB$4,0)+1,0),"")</f>
        <v/>
      </c>
      <c r="T368" s="1462" t="s">
        <v>2285</v>
      </c>
      <c r="U368" s="1570"/>
      <c r="V368" s="1466" t="str">
        <f>IFERROR(VLOOKUP(K366,【参考】数式用!$A$5:$AB$27,MATCH(U368,【参考】数式用!$B$4:$AB$4,0)+1,0),"")</f>
        <v/>
      </c>
      <c r="W368" s="1468" t="s">
        <v>19</v>
      </c>
      <c r="X368" s="1538"/>
      <c r="Y368" s="1410" t="s">
        <v>10</v>
      </c>
      <c r="Z368" s="1538"/>
      <c r="AA368" s="1410" t="s">
        <v>45</v>
      </c>
      <c r="AB368" s="1538"/>
      <c r="AC368" s="1410" t="s">
        <v>10</v>
      </c>
      <c r="AD368" s="1538"/>
      <c r="AE368" s="1410" t="s">
        <v>2188</v>
      </c>
      <c r="AF368" s="1410" t="s">
        <v>24</v>
      </c>
      <c r="AG368" s="1410" t="str">
        <f>IF(X368&gt;=1,(AB368*12+AD368)-(X368*12+Z368)+1,"")</f>
        <v/>
      </c>
      <c r="AH368" s="1412" t="s">
        <v>38</v>
      </c>
      <c r="AI368" s="1414" t="str">
        <f t="shared" ref="AI368" si="347">IFERROR(ROUNDDOWN(ROUND(L366*V368,0)*M366,0)*AG368,"")</f>
        <v/>
      </c>
      <c r="AJ368" s="1578" t="str">
        <f>IFERROR(ROUNDDOWN(ROUND((L366*(V368-AX366)),0)*M366,0)*AG368,"")</f>
        <v/>
      </c>
      <c r="AK368" s="1497" t="str">
        <f>IFERROR(ROUNDDOWN(ROUNDDOWN(ROUND(L366*VLOOKUP(K366,【参考】数式用!$A$5:$AB$27,MATCH("新加算Ⅳ",【参考】数式用!$B$4:$AB$4,0)+1,0),0)*M366,0)*AG368*0.5,0),"")</f>
        <v/>
      </c>
      <c r="AL368" s="1580"/>
      <c r="AM368" s="1588" t="str">
        <f>IFERROR(IF('別紙様式2-2（４・５月分）'!Q280="ベア加算","", IF(OR(U368="新加算Ⅰ",U368="新加算Ⅱ",U368="新加算Ⅲ",U368="新加算Ⅳ"),ROUNDDOWN(ROUND(L366*VLOOKUP(K366,【参考】数式用!$A$5:$I$27,MATCH("ベア加算",【参考】数式用!$B$4:$I$4,0)+1,0),0)*M366,0)*AG368,"")),"")</f>
        <v/>
      </c>
      <c r="AN368" s="1544"/>
      <c r="AO368" s="1536"/>
      <c r="AP368" s="1548"/>
      <c r="AQ368" s="1536"/>
      <c r="AR368" s="1550"/>
      <c r="AS368" s="1552"/>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71"/>
      <c r="V369" s="1467"/>
      <c r="W369" s="1469"/>
      <c r="X369" s="1539"/>
      <c r="Y369" s="1411"/>
      <c r="Z369" s="1539"/>
      <c r="AA369" s="1411"/>
      <c r="AB369" s="1539"/>
      <c r="AC369" s="1411"/>
      <c r="AD369" s="1539"/>
      <c r="AE369" s="1411"/>
      <c r="AF369" s="1411"/>
      <c r="AG369" s="1411"/>
      <c r="AH369" s="1413"/>
      <c r="AI369" s="1415"/>
      <c r="AJ369" s="1579"/>
      <c r="AK369" s="1498"/>
      <c r="AL369" s="1581"/>
      <c r="AM369" s="1589"/>
      <c r="AN369" s="1545"/>
      <c r="AO369" s="1537"/>
      <c r="AP369" s="1549"/>
      <c r="AQ369" s="1537"/>
      <c r="AR369" s="1551"/>
      <c r="AS369" s="1553"/>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2275</v>
      </c>
      <c r="U370" s="1562" t="str">
        <f>IF('別紙様式2-3（６月以降分）'!U370="","",'別紙様式2-3（６月以降分）'!U370)</f>
        <v/>
      </c>
      <c r="V370" s="1460" t="str">
        <f>IFERROR(VLOOKUP(K370,【参考】数式用!$A$5:$AB$27,MATCH(U370,【参考】数式用!$B$4:$AB$4,0)+1,0),"")</f>
        <v/>
      </c>
      <c r="W370" s="1353" t="s">
        <v>19</v>
      </c>
      <c r="X370" s="1554">
        <f>'別紙様式2-3（６月以降分）'!X370</f>
        <v>6</v>
      </c>
      <c r="Y370" s="1357" t="s">
        <v>10</v>
      </c>
      <c r="Z370" s="1554">
        <f>'別紙様式2-3（６月以降分）'!Z370</f>
        <v>6</v>
      </c>
      <c r="AA370" s="1357" t="s">
        <v>45</v>
      </c>
      <c r="AB370" s="1554">
        <f>'別紙様式2-3（６月以降分）'!AB370</f>
        <v>7</v>
      </c>
      <c r="AC370" s="1357" t="s">
        <v>10</v>
      </c>
      <c r="AD370" s="1554">
        <f>'別紙様式2-3（６月以降分）'!AD370</f>
        <v>3</v>
      </c>
      <c r="AE370" s="1357" t="s">
        <v>2188</v>
      </c>
      <c r="AF370" s="1357" t="s">
        <v>24</v>
      </c>
      <c r="AG370" s="1357">
        <f>IF(X370&gt;=1,(AB370*12+AD370)-(X370*12+Z370)+1,"")</f>
        <v>10</v>
      </c>
      <c r="AH370" s="1363" t="s">
        <v>38</v>
      </c>
      <c r="AI370" s="1484" t="str">
        <f>'別紙様式2-3（６月以降分）'!AI370</f>
        <v/>
      </c>
      <c r="AJ370" s="1556" t="str">
        <f>'別紙様式2-3（６月以降分）'!AJ370</f>
        <v/>
      </c>
      <c r="AK370" s="1584">
        <f>'別紙様式2-3（６月以降分）'!AK370</f>
        <v>0</v>
      </c>
      <c r="AL370" s="1560" t="str">
        <f>IF('別紙様式2-3（６月以降分）'!AL370="","",'別紙様式2-3（６月以降分）'!AL370)</f>
        <v/>
      </c>
      <c r="AM370" s="1572">
        <f>'別紙様式2-3（６月以降分）'!AM370</f>
        <v>0</v>
      </c>
      <c r="AN370" s="1574"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3"/>
      <c r="V371" s="1461"/>
      <c r="W371" s="1354"/>
      <c r="X371" s="1555"/>
      <c r="Y371" s="1358"/>
      <c r="Z371" s="1555"/>
      <c r="AA371" s="1358"/>
      <c r="AB371" s="1555"/>
      <c r="AC371" s="1358"/>
      <c r="AD371" s="1555"/>
      <c r="AE371" s="1358"/>
      <c r="AF371" s="1358"/>
      <c r="AG371" s="1358"/>
      <c r="AH371" s="1364"/>
      <c r="AI371" s="1485"/>
      <c r="AJ371" s="1557"/>
      <c r="AK371" s="1585"/>
      <c r="AL371" s="1561"/>
      <c r="AM371" s="1573"/>
      <c r="AN371" s="1575"/>
      <c r="AO371" s="1407"/>
      <c r="AP371" s="1567"/>
      <c r="AQ371" s="1407"/>
      <c r="AR371" s="1587"/>
      <c r="AS371" s="1569"/>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2196</v>
      </c>
      <c r="Q372" s="1507" t="str">
        <f>IFERROR(VLOOKUP('別紙様式2-2（４・５月分）'!AR281,【参考】数式用!$AT$5:$AV$22,3,FALSE),"")</f>
        <v/>
      </c>
      <c r="R372" s="1391" t="s">
        <v>2207</v>
      </c>
      <c r="S372" s="1397" t="str">
        <f>IFERROR(VLOOKUP(K370,【参考】数式用!$A$5:$AB$27,MATCH(Q372,【参考】数式用!$B$4:$AB$4,0)+1,0),"")</f>
        <v/>
      </c>
      <c r="T372" s="1462" t="s">
        <v>2285</v>
      </c>
      <c r="U372" s="1570"/>
      <c r="V372" s="1466" t="str">
        <f>IFERROR(VLOOKUP(K370,【参考】数式用!$A$5:$AB$27,MATCH(U372,【参考】数式用!$B$4:$AB$4,0)+1,0),"")</f>
        <v/>
      </c>
      <c r="W372" s="1468" t="s">
        <v>19</v>
      </c>
      <c r="X372" s="1538"/>
      <c r="Y372" s="1410" t="s">
        <v>10</v>
      </c>
      <c r="Z372" s="1538"/>
      <c r="AA372" s="1410" t="s">
        <v>45</v>
      </c>
      <c r="AB372" s="1538"/>
      <c r="AC372" s="1410" t="s">
        <v>10</v>
      </c>
      <c r="AD372" s="1538"/>
      <c r="AE372" s="1410" t="s">
        <v>2188</v>
      </c>
      <c r="AF372" s="1410" t="s">
        <v>24</v>
      </c>
      <c r="AG372" s="1410" t="str">
        <f>IF(X372&gt;=1,(AB372*12+AD372)-(X372*12+Z372)+1,"")</f>
        <v/>
      </c>
      <c r="AH372" s="1412" t="s">
        <v>38</v>
      </c>
      <c r="AI372" s="1414" t="str">
        <f t="shared" ref="AI372" si="351">IFERROR(ROUNDDOWN(ROUND(L370*V372,0)*M370,0)*AG372,"")</f>
        <v/>
      </c>
      <c r="AJ372" s="1578" t="str">
        <f>IFERROR(ROUNDDOWN(ROUND((L370*(V372-AX370)),0)*M370,0)*AG372,"")</f>
        <v/>
      </c>
      <c r="AK372" s="1497" t="str">
        <f>IFERROR(ROUNDDOWN(ROUNDDOWN(ROUND(L370*VLOOKUP(K370,【参考】数式用!$A$5:$AB$27,MATCH("新加算Ⅳ",【参考】数式用!$B$4:$AB$4,0)+1,0),0)*M370,0)*AG372*0.5,0),"")</f>
        <v/>
      </c>
      <c r="AL372" s="1580"/>
      <c r="AM372" s="1588" t="str">
        <f>IFERROR(IF('別紙様式2-2（４・５月分）'!Q283="ベア加算","", IF(OR(U372="新加算Ⅰ",U372="新加算Ⅱ",U372="新加算Ⅲ",U372="新加算Ⅳ"),ROUNDDOWN(ROUND(L370*VLOOKUP(K370,【参考】数式用!$A$5:$I$27,MATCH("ベア加算",【参考】数式用!$B$4:$I$4,0)+1,0),0)*M370,0)*AG372,"")),"")</f>
        <v/>
      </c>
      <c r="AN372" s="1544"/>
      <c r="AO372" s="1536"/>
      <c r="AP372" s="1548"/>
      <c r="AQ372" s="1536"/>
      <c r="AR372" s="1550"/>
      <c r="AS372" s="1552"/>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71"/>
      <c r="V373" s="1467"/>
      <c r="W373" s="1469"/>
      <c r="X373" s="1539"/>
      <c r="Y373" s="1411"/>
      <c r="Z373" s="1539"/>
      <c r="AA373" s="1411"/>
      <c r="AB373" s="1539"/>
      <c r="AC373" s="1411"/>
      <c r="AD373" s="1539"/>
      <c r="AE373" s="1411"/>
      <c r="AF373" s="1411"/>
      <c r="AG373" s="1411"/>
      <c r="AH373" s="1413"/>
      <c r="AI373" s="1415"/>
      <c r="AJ373" s="1579"/>
      <c r="AK373" s="1498"/>
      <c r="AL373" s="1581"/>
      <c r="AM373" s="1589"/>
      <c r="AN373" s="1545"/>
      <c r="AO373" s="1537"/>
      <c r="AP373" s="1549"/>
      <c r="AQ373" s="1537"/>
      <c r="AR373" s="1551"/>
      <c r="AS373" s="1553"/>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2275</v>
      </c>
      <c r="U374" s="1562" t="str">
        <f>IF('別紙様式2-3（６月以降分）'!U374="","",'別紙様式2-3（６月以降分）'!U374)</f>
        <v/>
      </c>
      <c r="V374" s="1460" t="str">
        <f>IFERROR(VLOOKUP(K374,【参考】数式用!$A$5:$AB$27,MATCH(U374,【参考】数式用!$B$4:$AB$4,0)+1,0),"")</f>
        <v/>
      </c>
      <c r="W374" s="1353" t="s">
        <v>19</v>
      </c>
      <c r="X374" s="1554">
        <f>'別紙様式2-3（６月以降分）'!X374</f>
        <v>6</v>
      </c>
      <c r="Y374" s="1357" t="s">
        <v>10</v>
      </c>
      <c r="Z374" s="1554">
        <f>'別紙様式2-3（６月以降分）'!Z374</f>
        <v>6</v>
      </c>
      <c r="AA374" s="1357" t="s">
        <v>45</v>
      </c>
      <c r="AB374" s="1554">
        <f>'別紙様式2-3（６月以降分）'!AB374</f>
        <v>7</v>
      </c>
      <c r="AC374" s="1357" t="s">
        <v>10</v>
      </c>
      <c r="AD374" s="1554">
        <f>'別紙様式2-3（６月以降分）'!AD374</f>
        <v>3</v>
      </c>
      <c r="AE374" s="1357" t="s">
        <v>2188</v>
      </c>
      <c r="AF374" s="1357" t="s">
        <v>24</v>
      </c>
      <c r="AG374" s="1357">
        <f>IF(X374&gt;=1,(AB374*12+AD374)-(X374*12+Z374)+1,"")</f>
        <v>10</v>
      </c>
      <c r="AH374" s="1363" t="s">
        <v>38</v>
      </c>
      <c r="AI374" s="1484" t="str">
        <f>'別紙様式2-3（６月以降分）'!AI374</f>
        <v/>
      </c>
      <c r="AJ374" s="1556" t="str">
        <f>'別紙様式2-3（６月以降分）'!AJ374</f>
        <v/>
      </c>
      <c r="AK374" s="1584">
        <f>'別紙様式2-3（６月以降分）'!AK374</f>
        <v>0</v>
      </c>
      <c r="AL374" s="1560" t="str">
        <f>IF('別紙様式2-3（６月以降分）'!AL374="","",'別紙様式2-3（６月以降分）'!AL374)</f>
        <v/>
      </c>
      <c r="AM374" s="1572">
        <f>'別紙様式2-3（６月以降分）'!AM374</f>
        <v>0</v>
      </c>
      <c r="AN374" s="1574"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3"/>
      <c r="V375" s="1461"/>
      <c r="W375" s="1354"/>
      <c r="X375" s="1555"/>
      <c r="Y375" s="1358"/>
      <c r="Z375" s="1555"/>
      <c r="AA375" s="1358"/>
      <c r="AB375" s="1555"/>
      <c r="AC375" s="1358"/>
      <c r="AD375" s="1555"/>
      <c r="AE375" s="1358"/>
      <c r="AF375" s="1358"/>
      <c r="AG375" s="1358"/>
      <c r="AH375" s="1364"/>
      <c r="AI375" s="1485"/>
      <c r="AJ375" s="1557"/>
      <c r="AK375" s="1585"/>
      <c r="AL375" s="1561"/>
      <c r="AM375" s="1573"/>
      <c r="AN375" s="1575"/>
      <c r="AO375" s="1407"/>
      <c r="AP375" s="1567"/>
      <c r="AQ375" s="1407"/>
      <c r="AR375" s="1587"/>
      <c r="AS375" s="1569"/>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2196</v>
      </c>
      <c r="Q376" s="1507" t="str">
        <f>IFERROR(VLOOKUP('別紙様式2-2（４・５月分）'!AR284,【参考】数式用!$AT$5:$AV$22,3,FALSE),"")</f>
        <v/>
      </c>
      <c r="R376" s="1391" t="s">
        <v>2207</v>
      </c>
      <c r="S376" s="1397" t="str">
        <f>IFERROR(VLOOKUP(K374,【参考】数式用!$A$5:$AB$27,MATCH(Q376,【参考】数式用!$B$4:$AB$4,0)+1,0),"")</f>
        <v/>
      </c>
      <c r="T376" s="1462" t="s">
        <v>2285</v>
      </c>
      <c r="U376" s="1570"/>
      <c r="V376" s="1466" t="str">
        <f>IFERROR(VLOOKUP(K374,【参考】数式用!$A$5:$AB$27,MATCH(U376,【参考】数式用!$B$4:$AB$4,0)+1,0),"")</f>
        <v/>
      </c>
      <c r="W376" s="1468" t="s">
        <v>19</v>
      </c>
      <c r="X376" s="1538"/>
      <c r="Y376" s="1410" t="s">
        <v>10</v>
      </c>
      <c r="Z376" s="1538"/>
      <c r="AA376" s="1410" t="s">
        <v>45</v>
      </c>
      <c r="AB376" s="1538"/>
      <c r="AC376" s="1410" t="s">
        <v>10</v>
      </c>
      <c r="AD376" s="1538"/>
      <c r="AE376" s="1410" t="s">
        <v>2188</v>
      </c>
      <c r="AF376" s="1410" t="s">
        <v>24</v>
      </c>
      <c r="AG376" s="1410" t="str">
        <f>IF(X376&gt;=1,(AB376*12+AD376)-(X376*12+Z376)+1,"")</f>
        <v/>
      </c>
      <c r="AH376" s="1412" t="s">
        <v>38</v>
      </c>
      <c r="AI376" s="1414" t="str">
        <f t="shared" ref="AI376" si="355">IFERROR(ROUNDDOWN(ROUND(L374*V376,0)*M374,0)*AG376,"")</f>
        <v/>
      </c>
      <c r="AJ376" s="1578" t="str">
        <f>IFERROR(ROUNDDOWN(ROUND((L374*(V376-AX374)),0)*M374,0)*AG376,"")</f>
        <v/>
      </c>
      <c r="AK376" s="1497" t="str">
        <f>IFERROR(ROUNDDOWN(ROUNDDOWN(ROUND(L374*VLOOKUP(K374,【参考】数式用!$A$5:$AB$27,MATCH("新加算Ⅳ",【参考】数式用!$B$4:$AB$4,0)+1,0),0)*M374,0)*AG376*0.5,0),"")</f>
        <v/>
      </c>
      <c r="AL376" s="1580"/>
      <c r="AM376" s="1588" t="str">
        <f>IFERROR(IF('別紙様式2-2（４・５月分）'!Q286="ベア加算","", IF(OR(U376="新加算Ⅰ",U376="新加算Ⅱ",U376="新加算Ⅲ",U376="新加算Ⅳ"),ROUNDDOWN(ROUND(L374*VLOOKUP(K374,【参考】数式用!$A$5:$I$27,MATCH("ベア加算",【参考】数式用!$B$4:$I$4,0)+1,0),0)*M374,0)*AG376,"")),"")</f>
        <v/>
      </c>
      <c r="AN376" s="1544"/>
      <c r="AO376" s="1536"/>
      <c r="AP376" s="1548"/>
      <c r="AQ376" s="1536"/>
      <c r="AR376" s="1550"/>
      <c r="AS376" s="1552"/>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71"/>
      <c r="V377" s="1467"/>
      <c r="W377" s="1469"/>
      <c r="X377" s="1539"/>
      <c r="Y377" s="1411"/>
      <c r="Z377" s="1539"/>
      <c r="AA377" s="1411"/>
      <c r="AB377" s="1539"/>
      <c r="AC377" s="1411"/>
      <c r="AD377" s="1539"/>
      <c r="AE377" s="1411"/>
      <c r="AF377" s="1411"/>
      <c r="AG377" s="1411"/>
      <c r="AH377" s="1413"/>
      <c r="AI377" s="1415"/>
      <c r="AJ377" s="1579"/>
      <c r="AK377" s="1498"/>
      <c r="AL377" s="1581"/>
      <c r="AM377" s="1589"/>
      <c r="AN377" s="1545"/>
      <c r="AO377" s="1537"/>
      <c r="AP377" s="1549"/>
      <c r="AQ377" s="1537"/>
      <c r="AR377" s="1551"/>
      <c r="AS377" s="1553"/>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2275</v>
      </c>
      <c r="U378" s="1562" t="str">
        <f>IF('別紙様式2-3（６月以降分）'!U378="","",'別紙様式2-3（６月以降分）'!U378)</f>
        <v/>
      </c>
      <c r="V378" s="1460" t="str">
        <f>IFERROR(VLOOKUP(K378,【参考】数式用!$A$5:$AB$27,MATCH(U378,【参考】数式用!$B$4:$AB$4,0)+1,0),"")</f>
        <v/>
      </c>
      <c r="W378" s="1353" t="s">
        <v>19</v>
      </c>
      <c r="X378" s="1554">
        <f>'別紙様式2-3（６月以降分）'!X378</f>
        <v>6</v>
      </c>
      <c r="Y378" s="1357" t="s">
        <v>10</v>
      </c>
      <c r="Z378" s="1554">
        <f>'別紙様式2-3（６月以降分）'!Z378</f>
        <v>6</v>
      </c>
      <c r="AA378" s="1357" t="s">
        <v>45</v>
      </c>
      <c r="AB378" s="1554">
        <f>'別紙様式2-3（６月以降分）'!AB378</f>
        <v>7</v>
      </c>
      <c r="AC378" s="1357" t="s">
        <v>10</v>
      </c>
      <c r="AD378" s="1554">
        <f>'別紙様式2-3（６月以降分）'!AD378</f>
        <v>3</v>
      </c>
      <c r="AE378" s="1357" t="s">
        <v>2188</v>
      </c>
      <c r="AF378" s="1357" t="s">
        <v>24</v>
      </c>
      <c r="AG378" s="1357">
        <f>IF(X378&gt;=1,(AB378*12+AD378)-(X378*12+Z378)+1,"")</f>
        <v>10</v>
      </c>
      <c r="AH378" s="1363" t="s">
        <v>38</v>
      </c>
      <c r="AI378" s="1484" t="str">
        <f>'別紙様式2-3（６月以降分）'!AI378</f>
        <v/>
      </c>
      <c r="AJ378" s="1556" t="str">
        <f>'別紙様式2-3（６月以降分）'!AJ378</f>
        <v/>
      </c>
      <c r="AK378" s="1584">
        <f>'別紙様式2-3（６月以降分）'!AK378</f>
        <v>0</v>
      </c>
      <c r="AL378" s="1560" t="str">
        <f>IF('別紙様式2-3（６月以降分）'!AL378="","",'別紙様式2-3（６月以降分）'!AL378)</f>
        <v/>
      </c>
      <c r="AM378" s="1572">
        <f>'別紙様式2-3（６月以降分）'!AM378</f>
        <v>0</v>
      </c>
      <c r="AN378" s="1574"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3"/>
      <c r="V379" s="1461"/>
      <c r="W379" s="1354"/>
      <c r="X379" s="1555"/>
      <c r="Y379" s="1358"/>
      <c r="Z379" s="1555"/>
      <c r="AA379" s="1358"/>
      <c r="AB379" s="1555"/>
      <c r="AC379" s="1358"/>
      <c r="AD379" s="1555"/>
      <c r="AE379" s="1358"/>
      <c r="AF379" s="1358"/>
      <c r="AG379" s="1358"/>
      <c r="AH379" s="1364"/>
      <c r="AI379" s="1485"/>
      <c r="AJ379" s="1557"/>
      <c r="AK379" s="1585"/>
      <c r="AL379" s="1561"/>
      <c r="AM379" s="1573"/>
      <c r="AN379" s="1575"/>
      <c r="AO379" s="1407"/>
      <c r="AP379" s="1567"/>
      <c r="AQ379" s="1407"/>
      <c r="AR379" s="1587"/>
      <c r="AS379" s="1569"/>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2196</v>
      </c>
      <c r="Q380" s="1507" t="str">
        <f>IFERROR(VLOOKUP('別紙様式2-2（４・５月分）'!AR287,【参考】数式用!$AT$5:$AV$22,3,FALSE),"")</f>
        <v/>
      </c>
      <c r="R380" s="1391" t="s">
        <v>2207</v>
      </c>
      <c r="S380" s="1399" t="str">
        <f>IFERROR(VLOOKUP(K378,【参考】数式用!$A$5:$AB$27,MATCH(Q380,【参考】数式用!$B$4:$AB$4,0)+1,0),"")</f>
        <v/>
      </c>
      <c r="T380" s="1462" t="s">
        <v>2285</v>
      </c>
      <c r="U380" s="1570"/>
      <c r="V380" s="1466" t="str">
        <f>IFERROR(VLOOKUP(K378,【参考】数式用!$A$5:$AB$27,MATCH(U380,【参考】数式用!$B$4:$AB$4,0)+1,0),"")</f>
        <v/>
      </c>
      <c r="W380" s="1468" t="s">
        <v>19</v>
      </c>
      <c r="X380" s="1538"/>
      <c r="Y380" s="1410" t="s">
        <v>10</v>
      </c>
      <c r="Z380" s="1538"/>
      <c r="AA380" s="1410" t="s">
        <v>45</v>
      </c>
      <c r="AB380" s="1538"/>
      <c r="AC380" s="1410" t="s">
        <v>10</v>
      </c>
      <c r="AD380" s="1538"/>
      <c r="AE380" s="1410" t="s">
        <v>2188</v>
      </c>
      <c r="AF380" s="1410" t="s">
        <v>24</v>
      </c>
      <c r="AG380" s="1410" t="str">
        <f>IF(X380&gt;=1,(AB380*12+AD380)-(X380*12+Z380)+1,"")</f>
        <v/>
      </c>
      <c r="AH380" s="1412" t="s">
        <v>38</v>
      </c>
      <c r="AI380" s="1414" t="str">
        <f t="shared" ref="AI380" si="359">IFERROR(ROUNDDOWN(ROUND(L378*V380,0)*M378,0)*AG380,"")</f>
        <v/>
      </c>
      <c r="AJ380" s="1578" t="str">
        <f>IFERROR(ROUNDDOWN(ROUND((L378*(V380-AX378)),0)*M378,0)*AG380,"")</f>
        <v/>
      </c>
      <c r="AK380" s="1497" t="str">
        <f>IFERROR(ROUNDDOWN(ROUNDDOWN(ROUND(L378*VLOOKUP(K378,【参考】数式用!$A$5:$AB$27,MATCH("新加算Ⅳ",【参考】数式用!$B$4:$AB$4,0)+1,0),0)*M378,0)*AG380*0.5,0),"")</f>
        <v/>
      </c>
      <c r="AL380" s="1580"/>
      <c r="AM380" s="1588" t="str">
        <f>IFERROR(IF('別紙様式2-2（４・５月分）'!Q289="ベア加算","", IF(OR(U380="新加算Ⅰ",U380="新加算Ⅱ",U380="新加算Ⅲ",U380="新加算Ⅳ"),ROUNDDOWN(ROUND(L378*VLOOKUP(K378,【参考】数式用!$A$5:$I$27,MATCH("ベア加算",【参考】数式用!$B$4:$I$4,0)+1,0),0)*M378,0)*AG380,"")),"")</f>
        <v/>
      </c>
      <c r="AN380" s="1544"/>
      <c r="AO380" s="1536"/>
      <c r="AP380" s="1548"/>
      <c r="AQ380" s="1536"/>
      <c r="AR380" s="1550"/>
      <c r="AS380" s="1552"/>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71"/>
      <c r="V381" s="1467"/>
      <c r="W381" s="1469"/>
      <c r="X381" s="1539"/>
      <c r="Y381" s="1411"/>
      <c r="Z381" s="1539"/>
      <c r="AA381" s="1411"/>
      <c r="AB381" s="1539"/>
      <c r="AC381" s="1411"/>
      <c r="AD381" s="1539"/>
      <c r="AE381" s="1411"/>
      <c r="AF381" s="1411"/>
      <c r="AG381" s="1411"/>
      <c r="AH381" s="1413"/>
      <c r="AI381" s="1415"/>
      <c r="AJ381" s="1579"/>
      <c r="AK381" s="1498"/>
      <c r="AL381" s="1581"/>
      <c r="AM381" s="1589"/>
      <c r="AN381" s="1545"/>
      <c r="AO381" s="1537"/>
      <c r="AP381" s="1549"/>
      <c r="AQ381" s="1537"/>
      <c r="AR381" s="1551"/>
      <c r="AS381" s="1553"/>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2275</v>
      </c>
      <c r="U382" s="1562" t="str">
        <f>IF('別紙様式2-3（６月以降分）'!U382="","",'別紙様式2-3（６月以降分）'!U382)</f>
        <v/>
      </c>
      <c r="V382" s="1460" t="str">
        <f>IFERROR(VLOOKUP(K382,【参考】数式用!$A$5:$AB$27,MATCH(U382,【参考】数式用!$B$4:$AB$4,0)+1,0),"")</f>
        <v/>
      </c>
      <c r="W382" s="1353" t="s">
        <v>19</v>
      </c>
      <c r="X382" s="1554">
        <f>'別紙様式2-3（６月以降分）'!X382</f>
        <v>6</v>
      </c>
      <c r="Y382" s="1357" t="s">
        <v>10</v>
      </c>
      <c r="Z382" s="1554">
        <f>'別紙様式2-3（６月以降分）'!Z382</f>
        <v>6</v>
      </c>
      <c r="AA382" s="1357" t="s">
        <v>45</v>
      </c>
      <c r="AB382" s="1554">
        <f>'別紙様式2-3（６月以降分）'!AB382</f>
        <v>7</v>
      </c>
      <c r="AC382" s="1357" t="s">
        <v>10</v>
      </c>
      <c r="AD382" s="1554">
        <f>'別紙様式2-3（６月以降分）'!AD382</f>
        <v>3</v>
      </c>
      <c r="AE382" s="1357" t="s">
        <v>2188</v>
      </c>
      <c r="AF382" s="1357" t="s">
        <v>24</v>
      </c>
      <c r="AG382" s="1357">
        <f>IF(X382&gt;=1,(AB382*12+AD382)-(X382*12+Z382)+1,"")</f>
        <v>10</v>
      </c>
      <c r="AH382" s="1363" t="s">
        <v>38</v>
      </c>
      <c r="AI382" s="1484" t="str">
        <f>'別紙様式2-3（６月以降分）'!AI382</f>
        <v/>
      </c>
      <c r="AJ382" s="1556" t="str">
        <f>'別紙様式2-3（６月以降分）'!AJ382</f>
        <v/>
      </c>
      <c r="AK382" s="1584">
        <f>'別紙様式2-3（６月以降分）'!AK382</f>
        <v>0</v>
      </c>
      <c r="AL382" s="1560" t="str">
        <f>IF('別紙様式2-3（６月以降分）'!AL382="","",'別紙様式2-3（６月以降分）'!AL382)</f>
        <v/>
      </c>
      <c r="AM382" s="1572">
        <f>'別紙様式2-3（６月以降分）'!AM382</f>
        <v>0</v>
      </c>
      <c r="AN382" s="1574"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3"/>
      <c r="V383" s="1461"/>
      <c r="W383" s="1354"/>
      <c r="X383" s="1555"/>
      <c r="Y383" s="1358"/>
      <c r="Z383" s="1555"/>
      <c r="AA383" s="1358"/>
      <c r="AB383" s="1555"/>
      <c r="AC383" s="1358"/>
      <c r="AD383" s="1555"/>
      <c r="AE383" s="1358"/>
      <c r="AF383" s="1358"/>
      <c r="AG383" s="1358"/>
      <c r="AH383" s="1364"/>
      <c r="AI383" s="1485"/>
      <c r="AJ383" s="1557"/>
      <c r="AK383" s="1585"/>
      <c r="AL383" s="1561"/>
      <c r="AM383" s="1573"/>
      <c r="AN383" s="1575"/>
      <c r="AO383" s="1407"/>
      <c r="AP383" s="1567"/>
      <c r="AQ383" s="1407"/>
      <c r="AR383" s="1587"/>
      <c r="AS383" s="1569"/>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2196</v>
      </c>
      <c r="Q384" s="1507" t="str">
        <f>IFERROR(VLOOKUP('別紙様式2-2（４・５月分）'!AR290,【参考】数式用!$AT$5:$AV$22,3,FALSE),"")</f>
        <v/>
      </c>
      <c r="R384" s="1391" t="s">
        <v>2207</v>
      </c>
      <c r="S384" s="1397" t="str">
        <f>IFERROR(VLOOKUP(K382,【参考】数式用!$A$5:$AB$27,MATCH(Q384,【参考】数式用!$B$4:$AB$4,0)+1,0),"")</f>
        <v/>
      </c>
      <c r="T384" s="1462" t="s">
        <v>2285</v>
      </c>
      <c r="U384" s="1570"/>
      <c r="V384" s="1466" t="str">
        <f>IFERROR(VLOOKUP(K382,【参考】数式用!$A$5:$AB$27,MATCH(U384,【参考】数式用!$B$4:$AB$4,0)+1,0),"")</f>
        <v/>
      </c>
      <c r="W384" s="1468" t="s">
        <v>19</v>
      </c>
      <c r="X384" s="1538"/>
      <c r="Y384" s="1410" t="s">
        <v>10</v>
      </c>
      <c r="Z384" s="1538"/>
      <c r="AA384" s="1410" t="s">
        <v>45</v>
      </c>
      <c r="AB384" s="1538"/>
      <c r="AC384" s="1410" t="s">
        <v>10</v>
      </c>
      <c r="AD384" s="1538"/>
      <c r="AE384" s="1410" t="s">
        <v>2188</v>
      </c>
      <c r="AF384" s="1410" t="s">
        <v>24</v>
      </c>
      <c r="AG384" s="1410" t="str">
        <f>IF(X384&gt;=1,(AB384*12+AD384)-(X384*12+Z384)+1,"")</f>
        <v/>
      </c>
      <c r="AH384" s="1412" t="s">
        <v>38</v>
      </c>
      <c r="AI384" s="1414" t="str">
        <f t="shared" ref="AI384" si="363">IFERROR(ROUNDDOWN(ROUND(L382*V384,0)*M382,0)*AG384,"")</f>
        <v/>
      </c>
      <c r="AJ384" s="1578" t="str">
        <f>IFERROR(ROUNDDOWN(ROUND((L382*(V384-AX382)),0)*M382,0)*AG384,"")</f>
        <v/>
      </c>
      <c r="AK384" s="1497" t="str">
        <f>IFERROR(ROUNDDOWN(ROUNDDOWN(ROUND(L382*VLOOKUP(K382,【参考】数式用!$A$5:$AB$27,MATCH("新加算Ⅳ",【参考】数式用!$B$4:$AB$4,0)+1,0),0)*M382,0)*AG384*0.5,0),"")</f>
        <v/>
      </c>
      <c r="AL384" s="1580"/>
      <c r="AM384" s="1588" t="str">
        <f>IFERROR(IF('別紙様式2-2（４・５月分）'!Q292="ベア加算","", IF(OR(U384="新加算Ⅰ",U384="新加算Ⅱ",U384="新加算Ⅲ",U384="新加算Ⅳ"),ROUNDDOWN(ROUND(L382*VLOOKUP(K382,【参考】数式用!$A$5:$I$27,MATCH("ベア加算",【参考】数式用!$B$4:$I$4,0)+1,0),0)*M382,0)*AG384,"")),"")</f>
        <v/>
      </c>
      <c r="AN384" s="1544"/>
      <c r="AO384" s="1536"/>
      <c r="AP384" s="1548"/>
      <c r="AQ384" s="1536"/>
      <c r="AR384" s="1550"/>
      <c r="AS384" s="1552"/>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71"/>
      <c r="V385" s="1467"/>
      <c r="W385" s="1469"/>
      <c r="X385" s="1539"/>
      <c r="Y385" s="1411"/>
      <c r="Z385" s="1539"/>
      <c r="AA385" s="1411"/>
      <c r="AB385" s="1539"/>
      <c r="AC385" s="1411"/>
      <c r="AD385" s="1539"/>
      <c r="AE385" s="1411"/>
      <c r="AF385" s="1411"/>
      <c r="AG385" s="1411"/>
      <c r="AH385" s="1413"/>
      <c r="AI385" s="1415"/>
      <c r="AJ385" s="1579"/>
      <c r="AK385" s="1498"/>
      <c r="AL385" s="1581"/>
      <c r="AM385" s="1589"/>
      <c r="AN385" s="1545"/>
      <c r="AO385" s="1537"/>
      <c r="AP385" s="1549"/>
      <c r="AQ385" s="1537"/>
      <c r="AR385" s="1551"/>
      <c r="AS385" s="1553"/>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2275</v>
      </c>
      <c r="U386" s="1562" t="str">
        <f>IF('別紙様式2-3（６月以降分）'!U386="","",'別紙様式2-3（６月以降分）'!U386)</f>
        <v/>
      </c>
      <c r="V386" s="1460" t="str">
        <f>IFERROR(VLOOKUP(K386,【参考】数式用!$A$5:$AB$27,MATCH(U386,【参考】数式用!$B$4:$AB$4,0)+1,0),"")</f>
        <v/>
      </c>
      <c r="W386" s="1353" t="s">
        <v>19</v>
      </c>
      <c r="X386" s="1554">
        <f>'別紙様式2-3（６月以降分）'!X386</f>
        <v>6</v>
      </c>
      <c r="Y386" s="1357" t="s">
        <v>10</v>
      </c>
      <c r="Z386" s="1554">
        <f>'別紙様式2-3（６月以降分）'!Z386</f>
        <v>6</v>
      </c>
      <c r="AA386" s="1357" t="s">
        <v>45</v>
      </c>
      <c r="AB386" s="1554">
        <f>'別紙様式2-3（６月以降分）'!AB386</f>
        <v>7</v>
      </c>
      <c r="AC386" s="1357" t="s">
        <v>10</v>
      </c>
      <c r="AD386" s="1554">
        <f>'別紙様式2-3（６月以降分）'!AD386</f>
        <v>3</v>
      </c>
      <c r="AE386" s="1357" t="s">
        <v>2188</v>
      </c>
      <c r="AF386" s="1357" t="s">
        <v>24</v>
      </c>
      <c r="AG386" s="1357">
        <f>IF(X386&gt;=1,(AB386*12+AD386)-(X386*12+Z386)+1,"")</f>
        <v>10</v>
      </c>
      <c r="AH386" s="1363" t="s">
        <v>38</v>
      </c>
      <c r="AI386" s="1484" t="str">
        <f>'別紙様式2-3（６月以降分）'!AI386</f>
        <v/>
      </c>
      <c r="AJ386" s="1556" t="str">
        <f>'別紙様式2-3（６月以降分）'!AJ386</f>
        <v/>
      </c>
      <c r="AK386" s="1584">
        <f>'別紙様式2-3（６月以降分）'!AK386</f>
        <v>0</v>
      </c>
      <c r="AL386" s="1560" t="str">
        <f>IF('別紙様式2-3（６月以降分）'!AL386="","",'別紙様式2-3（６月以降分）'!AL386)</f>
        <v/>
      </c>
      <c r="AM386" s="1572">
        <f>'別紙様式2-3（６月以降分）'!AM386</f>
        <v>0</v>
      </c>
      <c r="AN386" s="1574"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3"/>
      <c r="V387" s="1461"/>
      <c r="W387" s="1354"/>
      <c r="X387" s="1555"/>
      <c r="Y387" s="1358"/>
      <c r="Z387" s="1555"/>
      <c r="AA387" s="1358"/>
      <c r="AB387" s="1555"/>
      <c r="AC387" s="1358"/>
      <c r="AD387" s="1555"/>
      <c r="AE387" s="1358"/>
      <c r="AF387" s="1358"/>
      <c r="AG387" s="1358"/>
      <c r="AH387" s="1364"/>
      <c r="AI387" s="1485"/>
      <c r="AJ387" s="1557"/>
      <c r="AK387" s="1585"/>
      <c r="AL387" s="1561"/>
      <c r="AM387" s="1573"/>
      <c r="AN387" s="1575"/>
      <c r="AO387" s="1407"/>
      <c r="AP387" s="1567"/>
      <c r="AQ387" s="1407"/>
      <c r="AR387" s="1587"/>
      <c r="AS387" s="1569"/>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2196</v>
      </c>
      <c r="Q388" s="1507" t="str">
        <f>IFERROR(VLOOKUP('別紙様式2-2（４・５月分）'!AR293,【参考】数式用!$AT$5:$AV$22,3,FALSE),"")</f>
        <v/>
      </c>
      <c r="R388" s="1391" t="s">
        <v>2207</v>
      </c>
      <c r="S388" s="1399" t="str">
        <f>IFERROR(VLOOKUP(K386,【参考】数式用!$A$5:$AB$27,MATCH(Q388,【参考】数式用!$B$4:$AB$4,0)+1,0),"")</f>
        <v/>
      </c>
      <c r="T388" s="1462" t="s">
        <v>2285</v>
      </c>
      <c r="U388" s="1570"/>
      <c r="V388" s="1466" t="str">
        <f>IFERROR(VLOOKUP(K386,【参考】数式用!$A$5:$AB$27,MATCH(U388,【参考】数式用!$B$4:$AB$4,0)+1,0),"")</f>
        <v/>
      </c>
      <c r="W388" s="1468" t="s">
        <v>19</v>
      </c>
      <c r="X388" s="1538"/>
      <c r="Y388" s="1410" t="s">
        <v>10</v>
      </c>
      <c r="Z388" s="1538"/>
      <c r="AA388" s="1410" t="s">
        <v>45</v>
      </c>
      <c r="AB388" s="1538"/>
      <c r="AC388" s="1410" t="s">
        <v>10</v>
      </c>
      <c r="AD388" s="1538"/>
      <c r="AE388" s="1410" t="s">
        <v>2188</v>
      </c>
      <c r="AF388" s="1410" t="s">
        <v>24</v>
      </c>
      <c r="AG388" s="1410" t="str">
        <f>IF(X388&gt;=1,(AB388*12+AD388)-(X388*12+Z388)+1,"")</f>
        <v/>
      </c>
      <c r="AH388" s="1412" t="s">
        <v>38</v>
      </c>
      <c r="AI388" s="1414" t="str">
        <f t="shared" ref="AI388" si="367">IFERROR(ROUNDDOWN(ROUND(L386*V388,0)*M386,0)*AG388,"")</f>
        <v/>
      </c>
      <c r="AJ388" s="1578" t="str">
        <f>IFERROR(ROUNDDOWN(ROUND((L386*(V388-AX386)),0)*M386,0)*AG388,"")</f>
        <v/>
      </c>
      <c r="AK388" s="1497" t="str">
        <f>IFERROR(ROUNDDOWN(ROUNDDOWN(ROUND(L386*VLOOKUP(K386,【参考】数式用!$A$5:$AB$27,MATCH("新加算Ⅳ",【参考】数式用!$B$4:$AB$4,0)+1,0),0)*M386,0)*AG388*0.5,0),"")</f>
        <v/>
      </c>
      <c r="AL388" s="1580"/>
      <c r="AM388" s="1588" t="str">
        <f>IFERROR(IF('別紙様式2-2（４・５月分）'!Q295="ベア加算","", IF(OR(U388="新加算Ⅰ",U388="新加算Ⅱ",U388="新加算Ⅲ",U388="新加算Ⅳ"),ROUNDDOWN(ROUND(L386*VLOOKUP(K386,【参考】数式用!$A$5:$I$27,MATCH("ベア加算",【参考】数式用!$B$4:$I$4,0)+1,0),0)*M386,0)*AG388,"")),"")</f>
        <v/>
      </c>
      <c r="AN388" s="1544"/>
      <c r="AO388" s="1536"/>
      <c r="AP388" s="1548"/>
      <c r="AQ388" s="1536"/>
      <c r="AR388" s="1550"/>
      <c r="AS388" s="1552"/>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71"/>
      <c r="V389" s="1467"/>
      <c r="W389" s="1469"/>
      <c r="X389" s="1539"/>
      <c r="Y389" s="1411"/>
      <c r="Z389" s="1539"/>
      <c r="AA389" s="1411"/>
      <c r="AB389" s="1539"/>
      <c r="AC389" s="1411"/>
      <c r="AD389" s="1539"/>
      <c r="AE389" s="1411"/>
      <c r="AF389" s="1411"/>
      <c r="AG389" s="1411"/>
      <c r="AH389" s="1413"/>
      <c r="AI389" s="1415"/>
      <c r="AJ389" s="1579"/>
      <c r="AK389" s="1498"/>
      <c r="AL389" s="1581"/>
      <c r="AM389" s="1589"/>
      <c r="AN389" s="1545"/>
      <c r="AO389" s="1537"/>
      <c r="AP389" s="1549"/>
      <c r="AQ389" s="1537"/>
      <c r="AR389" s="1551"/>
      <c r="AS389" s="1553"/>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2275</v>
      </c>
      <c r="U390" s="1562" t="str">
        <f>IF('別紙様式2-3（６月以降分）'!U390="","",'別紙様式2-3（６月以降分）'!U390)</f>
        <v/>
      </c>
      <c r="V390" s="1460" t="str">
        <f>IFERROR(VLOOKUP(K390,【参考】数式用!$A$5:$AB$27,MATCH(U390,【参考】数式用!$B$4:$AB$4,0)+1,0),"")</f>
        <v/>
      </c>
      <c r="W390" s="1353" t="s">
        <v>19</v>
      </c>
      <c r="X390" s="1554">
        <f>'別紙様式2-3（６月以降分）'!X390</f>
        <v>6</v>
      </c>
      <c r="Y390" s="1357" t="s">
        <v>10</v>
      </c>
      <c r="Z390" s="1554">
        <f>'別紙様式2-3（６月以降分）'!Z390</f>
        <v>6</v>
      </c>
      <c r="AA390" s="1357" t="s">
        <v>45</v>
      </c>
      <c r="AB390" s="1554">
        <f>'別紙様式2-3（６月以降分）'!AB390</f>
        <v>7</v>
      </c>
      <c r="AC390" s="1357" t="s">
        <v>10</v>
      </c>
      <c r="AD390" s="1554">
        <f>'別紙様式2-3（６月以降分）'!AD390</f>
        <v>3</v>
      </c>
      <c r="AE390" s="1357" t="s">
        <v>2188</v>
      </c>
      <c r="AF390" s="1357" t="s">
        <v>24</v>
      </c>
      <c r="AG390" s="1357">
        <f>IF(X390&gt;=1,(AB390*12+AD390)-(X390*12+Z390)+1,"")</f>
        <v>10</v>
      </c>
      <c r="AH390" s="1363" t="s">
        <v>38</v>
      </c>
      <c r="AI390" s="1484" t="str">
        <f>'別紙様式2-3（６月以降分）'!AI390</f>
        <v/>
      </c>
      <c r="AJ390" s="1556" t="str">
        <f>'別紙様式2-3（６月以降分）'!AJ390</f>
        <v/>
      </c>
      <c r="AK390" s="1584">
        <f>'別紙様式2-3（６月以降分）'!AK390</f>
        <v>0</v>
      </c>
      <c r="AL390" s="1560" t="str">
        <f>IF('別紙様式2-3（６月以降分）'!AL390="","",'別紙様式2-3（６月以降分）'!AL390)</f>
        <v/>
      </c>
      <c r="AM390" s="1572">
        <f>'別紙様式2-3（６月以降分）'!AM390</f>
        <v>0</v>
      </c>
      <c r="AN390" s="1574"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3"/>
      <c r="V391" s="1461"/>
      <c r="W391" s="1354"/>
      <c r="X391" s="1555"/>
      <c r="Y391" s="1358"/>
      <c r="Z391" s="1555"/>
      <c r="AA391" s="1358"/>
      <c r="AB391" s="1555"/>
      <c r="AC391" s="1358"/>
      <c r="AD391" s="1555"/>
      <c r="AE391" s="1358"/>
      <c r="AF391" s="1358"/>
      <c r="AG391" s="1358"/>
      <c r="AH391" s="1364"/>
      <c r="AI391" s="1485"/>
      <c r="AJ391" s="1557"/>
      <c r="AK391" s="1585"/>
      <c r="AL391" s="1561"/>
      <c r="AM391" s="1573"/>
      <c r="AN391" s="1575"/>
      <c r="AO391" s="1407"/>
      <c r="AP391" s="1567"/>
      <c r="AQ391" s="1407"/>
      <c r="AR391" s="1587"/>
      <c r="AS391" s="1569"/>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2196</v>
      </c>
      <c r="Q392" s="1507" t="str">
        <f>IFERROR(VLOOKUP('別紙様式2-2（４・５月分）'!AR296,【参考】数式用!$AT$5:$AV$22,3,FALSE),"")</f>
        <v/>
      </c>
      <c r="R392" s="1391" t="s">
        <v>2207</v>
      </c>
      <c r="S392" s="1397" t="str">
        <f>IFERROR(VLOOKUP(K390,【参考】数式用!$A$5:$AB$27,MATCH(Q392,【参考】数式用!$B$4:$AB$4,0)+1,0),"")</f>
        <v/>
      </c>
      <c r="T392" s="1462" t="s">
        <v>2285</v>
      </c>
      <c r="U392" s="1570"/>
      <c r="V392" s="1466" t="str">
        <f>IFERROR(VLOOKUP(K390,【参考】数式用!$A$5:$AB$27,MATCH(U392,【参考】数式用!$B$4:$AB$4,0)+1,0),"")</f>
        <v/>
      </c>
      <c r="W392" s="1468" t="s">
        <v>19</v>
      </c>
      <c r="X392" s="1538"/>
      <c r="Y392" s="1410" t="s">
        <v>10</v>
      </c>
      <c r="Z392" s="1538"/>
      <c r="AA392" s="1410" t="s">
        <v>45</v>
      </c>
      <c r="AB392" s="1538"/>
      <c r="AC392" s="1410" t="s">
        <v>10</v>
      </c>
      <c r="AD392" s="1538"/>
      <c r="AE392" s="1410" t="s">
        <v>2188</v>
      </c>
      <c r="AF392" s="1410" t="s">
        <v>24</v>
      </c>
      <c r="AG392" s="1410" t="str">
        <f>IF(X392&gt;=1,(AB392*12+AD392)-(X392*12+Z392)+1,"")</f>
        <v/>
      </c>
      <c r="AH392" s="1412" t="s">
        <v>38</v>
      </c>
      <c r="AI392" s="1414" t="str">
        <f t="shared" ref="AI392" si="371">IFERROR(ROUNDDOWN(ROUND(L390*V392,0)*M390,0)*AG392,"")</f>
        <v/>
      </c>
      <c r="AJ392" s="1578" t="str">
        <f>IFERROR(ROUNDDOWN(ROUND((L390*(V392-AX390)),0)*M390,0)*AG392,"")</f>
        <v/>
      </c>
      <c r="AK392" s="1497" t="str">
        <f>IFERROR(ROUNDDOWN(ROUNDDOWN(ROUND(L390*VLOOKUP(K390,【参考】数式用!$A$5:$AB$27,MATCH("新加算Ⅳ",【参考】数式用!$B$4:$AB$4,0)+1,0),0)*M390,0)*AG392*0.5,0),"")</f>
        <v/>
      </c>
      <c r="AL392" s="1580"/>
      <c r="AM392" s="1588" t="str">
        <f>IFERROR(IF('別紙様式2-2（４・５月分）'!Q298="ベア加算","", IF(OR(U392="新加算Ⅰ",U392="新加算Ⅱ",U392="新加算Ⅲ",U392="新加算Ⅳ"),ROUNDDOWN(ROUND(L390*VLOOKUP(K390,【参考】数式用!$A$5:$I$27,MATCH("ベア加算",【参考】数式用!$B$4:$I$4,0)+1,0),0)*M390,0)*AG392,"")),"")</f>
        <v/>
      </c>
      <c r="AN392" s="1544"/>
      <c r="AO392" s="1536"/>
      <c r="AP392" s="1548"/>
      <c r="AQ392" s="1536"/>
      <c r="AR392" s="1550"/>
      <c r="AS392" s="1552"/>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71"/>
      <c r="V393" s="1467"/>
      <c r="W393" s="1469"/>
      <c r="X393" s="1539"/>
      <c r="Y393" s="1411"/>
      <c r="Z393" s="1539"/>
      <c r="AA393" s="1411"/>
      <c r="AB393" s="1539"/>
      <c r="AC393" s="1411"/>
      <c r="AD393" s="1539"/>
      <c r="AE393" s="1411"/>
      <c r="AF393" s="1411"/>
      <c r="AG393" s="1411"/>
      <c r="AH393" s="1413"/>
      <c r="AI393" s="1415"/>
      <c r="AJ393" s="1579"/>
      <c r="AK393" s="1498"/>
      <c r="AL393" s="1581"/>
      <c r="AM393" s="1589"/>
      <c r="AN393" s="1545"/>
      <c r="AO393" s="1537"/>
      <c r="AP393" s="1549"/>
      <c r="AQ393" s="1537"/>
      <c r="AR393" s="1551"/>
      <c r="AS393" s="1553"/>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2275</v>
      </c>
      <c r="U394" s="1562" t="str">
        <f>IF('別紙様式2-3（６月以降分）'!U394="","",'別紙様式2-3（６月以降分）'!U394)</f>
        <v/>
      </c>
      <c r="V394" s="1460" t="str">
        <f>IFERROR(VLOOKUP(K394,【参考】数式用!$A$5:$AB$27,MATCH(U394,【参考】数式用!$B$4:$AB$4,0)+1,0),"")</f>
        <v/>
      </c>
      <c r="W394" s="1353" t="s">
        <v>19</v>
      </c>
      <c r="X394" s="1554">
        <f>'別紙様式2-3（６月以降分）'!X394</f>
        <v>6</v>
      </c>
      <c r="Y394" s="1357" t="s">
        <v>10</v>
      </c>
      <c r="Z394" s="1554">
        <f>'別紙様式2-3（６月以降分）'!Z394</f>
        <v>6</v>
      </c>
      <c r="AA394" s="1357" t="s">
        <v>45</v>
      </c>
      <c r="AB394" s="1554">
        <f>'別紙様式2-3（６月以降分）'!AB394</f>
        <v>7</v>
      </c>
      <c r="AC394" s="1357" t="s">
        <v>10</v>
      </c>
      <c r="AD394" s="1554">
        <f>'別紙様式2-3（６月以降分）'!AD394</f>
        <v>3</v>
      </c>
      <c r="AE394" s="1357" t="s">
        <v>2188</v>
      </c>
      <c r="AF394" s="1357" t="s">
        <v>24</v>
      </c>
      <c r="AG394" s="1357">
        <f>IF(X394&gt;=1,(AB394*12+AD394)-(X394*12+Z394)+1,"")</f>
        <v>10</v>
      </c>
      <c r="AH394" s="1363" t="s">
        <v>38</v>
      </c>
      <c r="AI394" s="1484" t="str">
        <f>'別紙様式2-3（６月以降分）'!AI394</f>
        <v/>
      </c>
      <c r="AJ394" s="1556" t="str">
        <f>'別紙様式2-3（６月以降分）'!AJ394</f>
        <v/>
      </c>
      <c r="AK394" s="1584">
        <f>'別紙様式2-3（６月以降分）'!AK394</f>
        <v>0</v>
      </c>
      <c r="AL394" s="1560" t="str">
        <f>IF('別紙様式2-3（６月以降分）'!AL394="","",'別紙様式2-3（６月以降分）'!AL394)</f>
        <v/>
      </c>
      <c r="AM394" s="1572">
        <f>'別紙様式2-3（６月以降分）'!AM394</f>
        <v>0</v>
      </c>
      <c r="AN394" s="1574"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3"/>
      <c r="V395" s="1461"/>
      <c r="W395" s="1354"/>
      <c r="X395" s="1555"/>
      <c r="Y395" s="1358"/>
      <c r="Z395" s="1555"/>
      <c r="AA395" s="1358"/>
      <c r="AB395" s="1555"/>
      <c r="AC395" s="1358"/>
      <c r="AD395" s="1555"/>
      <c r="AE395" s="1358"/>
      <c r="AF395" s="1358"/>
      <c r="AG395" s="1358"/>
      <c r="AH395" s="1364"/>
      <c r="AI395" s="1485"/>
      <c r="AJ395" s="1557"/>
      <c r="AK395" s="1585"/>
      <c r="AL395" s="1561"/>
      <c r="AM395" s="1573"/>
      <c r="AN395" s="1575"/>
      <c r="AO395" s="1407"/>
      <c r="AP395" s="1567"/>
      <c r="AQ395" s="1407"/>
      <c r="AR395" s="1587"/>
      <c r="AS395" s="1569"/>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2196</v>
      </c>
      <c r="Q396" s="1507" t="str">
        <f>IFERROR(VLOOKUP('別紙様式2-2（４・５月分）'!AR299,【参考】数式用!$AT$5:$AV$22,3,FALSE),"")</f>
        <v/>
      </c>
      <c r="R396" s="1391" t="s">
        <v>2207</v>
      </c>
      <c r="S396" s="1399" t="str">
        <f>IFERROR(VLOOKUP(K394,【参考】数式用!$A$5:$AB$27,MATCH(Q396,【参考】数式用!$B$4:$AB$4,0)+1,0),"")</f>
        <v/>
      </c>
      <c r="T396" s="1462" t="s">
        <v>2285</v>
      </c>
      <c r="U396" s="1570"/>
      <c r="V396" s="1466" t="str">
        <f>IFERROR(VLOOKUP(K394,【参考】数式用!$A$5:$AB$27,MATCH(U396,【参考】数式用!$B$4:$AB$4,0)+1,0),"")</f>
        <v/>
      </c>
      <c r="W396" s="1468" t="s">
        <v>19</v>
      </c>
      <c r="X396" s="1538"/>
      <c r="Y396" s="1410" t="s">
        <v>10</v>
      </c>
      <c r="Z396" s="1538"/>
      <c r="AA396" s="1410" t="s">
        <v>45</v>
      </c>
      <c r="AB396" s="1538"/>
      <c r="AC396" s="1410" t="s">
        <v>10</v>
      </c>
      <c r="AD396" s="1538"/>
      <c r="AE396" s="1410" t="s">
        <v>2188</v>
      </c>
      <c r="AF396" s="1410" t="s">
        <v>24</v>
      </c>
      <c r="AG396" s="1410" t="str">
        <f>IF(X396&gt;=1,(AB396*12+AD396)-(X396*12+Z396)+1,"")</f>
        <v/>
      </c>
      <c r="AH396" s="1412" t="s">
        <v>38</v>
      </c>
      <c r="AI396" s="1414" t="str">
        <f t="shared" ref="AI396" si="375">IFERROR(ROUNDDOWN(ROUND(L394*V396,0)*M394,0)*AG396,"")</f>
        <v/>
      </c>
      <c r="AJ396" s="1578" t="str">
        <f>IFERROR(ROUNDDOWN(ROUND((L394*(V396-AX394)),0)*M394,0)*AG396,"")</f>
        <v/>
      </c>
      <c r="AK396" s="1497" t="str">
        <f>IFERROR(ROUNDDOWN(ROUNDDOWN(ROUND(L394*VLOOKUP(K394,【参考】数式用!$A$5:$AB$27,MATCH("新加算Ⅳ",【参考】数式用!$B$4:$AB$4,0)+1,0),0)*M394,0)*AG396*0.5,0),"")</f>
        <v/>
      </c>
      <c r="AL396" s="1580"/>
      <c r="AM396" s="1588" t="str">
        <f>IFERROR(IF('別紙様式2-2（４・５月分）'!Q301="ベア加算","", IF(OR(U396="新加算Ⅰ",U396="新加算Ⅱ",U396="新加算Ⅲ",U396="新加算Ⅳ"),ROUNDDOWN(ROUND(L394*VLOOKUP(K394,【参考】数式用!$A$5:$I$27,MATCH("ベア加算",【参考】数式用!$B$4:$I$4,0)+1,0),0)*M394,0)*AG396,"")),"")</f>
        <v/>
      </c>
      <c r="AN396" s="1544"/>
      <c r="AO396" s="1536"/>
      <c r="AP396" s="1548"/>
      <c r="AQ396" s="1536"/>
      <c r="AR396" s="1550"/>
      <c r="AS396" s="1552"/>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71"/>
      <c r="V397" s="1467"/>
      <c r="W397" s="1469"/>
      <c r="X397" s="1539"/>
      <c r="Y397" s="1411"/>
      <c r="Z397" s="1539"/>
      <c r="AA397" s="1411"/>
      <c r="AB397" s="1539"/>
      <c r="AC397" s="1411"/>
      <c r="AD397" s="1539"/>
      <c r="AE397" s="1411"/>
      <c r="AF397" s="1411"/>
      <c r="AG397" s="1411"/>
      <c r="AH397" s="1413"/>
      <c r="AI397" s="1415"/>
      <c r="AJ397" s="1579"/>
      <c r="AK397" s="1498"/>
      <c r="AL397" s="1581"/>
      <c r="AM397" s="1589"/>
      <c r="AN397" s="1545"/>
      <c r="AO397" s="1537"/>
      <c r="AP397" s="1549"/>
      <c r="AQ397" s="1537"/>
      <c r="AR397" s="1551"/>
      <c r="AS397" s="1553"/>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2275</v>
      </c>
      <c r="U398" s="1562" t="str">
        <f>IF('別紙様式2-3（６月以降分）'!U398="","",'別紙様式2-3（６月以降分）'!U398)</f>
        <v/>
      </c>
      <c r="V398" s="1460" t="str">
        <f>IFERROR(VLOOKUP(K398,【参考】数式用!$A$5:$AB$27,MATCH(U398,【参考】数式用!$B$4:$AB$4,0)+1,0),"")</f>
        <v/>
      </c>
      <c r="W398" s="1353" t="s">
        <v>19</v>
      </c>
      <c r="X398" s="1554">
        <f>'別紙様式2-3（６月以降分）'!X398</f>
        <v>6</v>
      </c>
      <c r="Y398" s="1357" t="s">
        <v>10</v>
      </c>
      <c r="Z398" s="1554">
        <f>'別紙様式2-3（６月以降分）'!Z398</f>
        <v>6</v>
      </c>
      <c r="AA398" s="1357" t="s">
        <v>45</v>
      </c>
      <c r="AB398" s="1554">
        <f>'別紙様式2-3（６月以降分）'!AB398</f>
        <v>7</v>
      </c>
      <c r="AC398" s="1357" t="s">
        <v>10</v>
      </c>
      <c r="AD398" s="1554">
        <f>'別紙様式2-3（６月以降分）'!AD398</f>
        <v>3</v>
      </c>
      <c r="AE398" s="1357" t="s">
        <v>2188</v>
      </c>
      <c r="AF398" s="1357" t="s">
        <v>24</v>
      </c>
      <c r="AG398" s="1357">
        <f>IF(X398&gt;=1,(AB398*12+AD398)-(X398*12+Z398)+1,"")</f>
        <v>10</v>
      </c>
      <c r="AH398" s="1363" t="s">
        <v>38</v>
      </c>
      <c r="AI398" s="1484" t="str">
        <f>'別紙様式2-3（６月以降分）'!AI398</f>
        <v/>
      </c>
      <c r="AJ398" s="1556" t="str">
        <f>'別紙様式2-3（６月以降分）'!AJ398</f>
        <v/>
      </c>
      <c r="AK398" s="1584">
        <f>'別紙様式2-3（６月以降分）'!AK398</f>
        <v>0</v>
      </c>
      <c r="AL398" s="1560" t="str">
        <f>IF('別紙様式2-3（６月以降分）'!AL398="","",'別紙様式2-3（６月以降分）'!AL398)</f>
        <v/>
      </c>
      <c r="AM398" s="1572">
        <f>'別紙様式2-3（６月以降分）'!AM398</f>
        <v>0</v>
      </c>
      <c r="AN398" s="1574"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3"/>
      <c r="V399" s="1461"/>
      <c r="W399" s="1354"/>
      <c r="X399" s="1555"/>
      <c r="Y399" s="1358"/>
      <c r="Z399" s="1555"/>
      <c r="AA399" s="1358"/>
      <c r="AB399" s="1555"/>
      <c r="AC399" s="1358"/>
      <c r="AD399" s="1555"/>
      <c r="AE399" s="1358"/>
      <c r="AF399" s="1358"/>
      <c r="AG399" s="1358"/>
      <c r="AH399" s="1364"/>
      <c r="AI399" s="1485"/>
      <c r="AJ399" s="1557"/>
      <c r="AK399" s="1585"/>
      <c r="AL399" s="1561"/>
      <c r="AM399" s="1573"/>
      <c r="AN399" s="1575"/>
      <c r="AO399" s="1407"/>
      <c r="AP399" s="1567"/>
      <c r="AQ399" s="1407"/>
      <c r="AR399" s="1587"/>
      <c r="AS399" s="1569"/>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2196</v>
      </c>
      <c r="Q400" s="1507" t="str">
        <f>IFERROR(VLOOKUP('別紙様式2-2（４・５月分）'!AR302,【参考】数式用!$AT$5:$AV$22,3,FALSE),"")</f>
        <v/>
      </c>
      <c r="R400" s="1391" t="s">
        <v>2207</v>
      </c>
      <c r="S400" s="1397" t="str">
        <f>IFERROR(VLOOKUP(K398,【参考】数式用!$A$5:$AB$27,MATCH(Q400,【参考】数式用!$B$4:$AB$4,0)+1,0),"")</f>
        <v/>
      </c>
      <c r="T400" s="1462" t="s">
        <v>2285</v>
      </c>
      <c r="U400" s="1570"/>
      <c r="V400" s="1466" t="str">
        <f>IFERROR(VLOOKUP(K398,【参考】数式用!$A$5:$AB$27,MATCH(U400,【参考】数式用!$B$4:$AB$4,0)+1,0),"")</f>
        <v/>
      </c>
      <c r="W400" s="1468" t="s">
        <v>19</v>
      </c>
      <c r="X400" s="1538"/>
      <c r="Y400" s="1410" t="s">
        <v>10</v>
      </c>
      <c r="Z400" s="1538"/>
      <c r="AA400" s="1410" t="s">
        <v>45</v>
      </c>
      <c r="AB400" s="1538"/>
      <c r="AC400" s="1410" t="s">
        <v>10</v>
      </c>
      <c r="AD400" s="1538"/>
      <c r="AE400" s="1410" t="s">
        <v>2188</v>
      </c>
      <c r="AF400" s="1410" t="s">
        <v>24</v>
      </c>
      <c r="AG400" s="1410" t="str">
        <f>IF(X400&gt;=1,(AB400*12+AD400)-(X400*12+Z400)+1,"")</f>
        <v/>
      </c>
      <c r="AH400" s="1412" t="s">
        <v>38</v>
      </c>
      <c r="AI400" s="1414" t="str">
        <f t="shared" ref="AI400" si="379">IFERROR(ROUNDDOWN(ROUND(L398*V400,0)*M398,0)*AG400,"")</f>
        <v/>
      </c>
      <c r="AJ400" s="1578" t="str">
        <f>IFERROR(ROUNDDOWN(ROUND((L398*(V400-AX398)),0)*M398,0)*AG400,"")</f>
        <v/>
      </c>
      <c r="AK400" s="1497" t="str">
        <f>IFERROR(ROUNDDOWN(ROUNDDOWN(ROUND(L398*VLOOKUP(K398,【参考】数式用!$A$5:$AB$27,MATCH("新加算Ⅳ",【参考】数式用!$B$4:$AB$4,0)+1,0),0)*M398,0)*AG400*0.5,0),"")</f>
        <v/>
      </c>
      <c r="AL400" s="1580"/>
      <c r="AM400" s="1588" t="str">
        <f>IFERROR(IF('別紙様式2-2（４・５月分）'!Q304="ベア加算","", IF(OR(U400="新加算Ⅰ",U400="新加算Ⅱ",U400="新加算Ⅲ",U400="新加算Ⅳ"),ROUNDDOWN(ROUND(L398*VLOOKUP(K398,【参考】数式用!$A$5:$I$27,MATCH("ベア加算",【参考】数式用!$B$4:$I$4,0)+1,0),0)*M398,0)*AG400,"")),"")</f>
        <v/>
      </c>
      <c r="AN400" s="1544"/>
      <c r="AO400" s="1536"/>
      <c r="AP400" s="1548"/>
      <c r="AQ400" s="1536"/>
      <c r="AR400" s="1550"/>
      <c r="AS400" s="1552"/>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71"/>
      <c r="V401" s="1467"/>
      <c r="W401" s="1469"/>
      <c r="X401" s="1539"/>
      <c r="Y401" s="1411"/>
      <c r="Z401" s="1539"/>
      <c r="AA401" s="1411"/>
      <c r="AB401" s="1539"/>
      <c r="AC401" s="1411"/>
      <c r="AD401" s="1539"/>
      <c r="AE401" s="1411"/>
      <c r="AF401" s="1411"/>
      <c r="AG401" s="1411"/>
      <c r="AH401" s="1413"/>
      <c r="AI401" s="1415"/>
      <c r="AJ401" s="1579"/>
      <c r="AK401" s="1498"/>
      <c r="AL401" s="1581"/>
      <c r="AM401" s="1589"/>
      <c r="AN401" s="1545"/>
      <c r="AO401" s="1537"/>
      <c r="AP401" s="1549"/>
      <c r="AQ401" s="1537"/>
      <c r="AR401" s="1551"/>
      <c r="AS401" s="1553"/>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2275</v>
      </c>
      <c r="U402" s="1562" t="str">
        <f>IF('別紙様式2-3（６月以降分）'!U402="","",'別紙様式2-3（６月以降分）'!U402)</f>
        <v/>
      </c>
      <c r="V402" s="1460" t="str">
        <f>IFERROR(VLOOKUP(K402,【参考】数式用!$A$5:$AB$27,MATCH(U402,【参考】数式用!$B$4:$AB$4,0)+1,0),"")</f>
        <v/>
      </c>
      <c r="W402" s="1353" t="s">
        <v>19</v>
      </c>
      <c r="X402" s="1554">
        <f>'別紙様式2-3（６月以降分）'!X402</f>
        <v>6</v>
      </c>
      <c r="Y402" s="1357" t="s">
        <v>10</v>
      </c>
      <c r="Z402" s="1554">
        <f>'別紙様式2-3（６月以降分）'!Z402</f>
        <v>6</v>
      </c>
      <c r="AA402" s="1357" t="s">
        <v>45</v>
      </c>
      <c r="AB402" s="1554">
        <f>'別紙様式2-3（６月以降分）'!AB402</f>
        <v>7</v>
      </c>
      <c r="AC402" s="1357" t="s">
        <v>10</v>
      </c>
      <c r="AD402" s="1554">
        <f>'別紙様式2-3（６月以降分）'!AD402</f>
        <v>3</v>
      </c>
      <c r="AE402" s="1357" t="s">
        <v>2188</v>
      </c>
      <c r="AF402" s="1357" t="s">
        <v>24</v>
      </c>
      <c r="AG402" s="1357">
        <f>IF(X402&gt;=1,(AB402*12+AD402)-(X402*12+Z402)+1,"")</f>
        <v>10</v>
      </c>
      <c r="AH402" s="1363" t="s">
        <v>38</v>
      </c>
      <c r="AI402" s="1484" t="str">
        <f>'別紙様式2-3（６月以降分）'!AI402</f>
        <v/>
      </c>
      <c r="AJ402" s="1556" t="str">
        <f>'別紙様式2-3（６月以降分）'!AJ402</f>
        <v/>
      </c>
      <c r="AK402" s="1584">
        <f>'別紙様式2-3（６月以降分）'!AK402</f>
        <v>0</v>
      </c>
      <c r="AL402" s="1560" t="str">
        <f>IF('別紙様式2-3（６月以降分）'!AL402="","",'別紙様式2-3（６月以降分）'!AL402)</f>
        <v/>
      </c>
      <c r="AM402" s="1572">
        <f>'別紙様式2-3（６月以降分）'!AM402</f>
        <v>0</v>
      </c>
      <c r="AN402" s="1574"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3"/>
      <c r="V403" s="1461"/>
      <c r="W403" s="1354"/>
      <c r="X403" s="1555"/>
      <c r="Y403" s="1358"/>
      <c r="Z403" s="1555"/>
      <c r="AA403" s="1358"/>
      <c r="AB403" s="1555"/>
      <c r="AC403" s="1358"/>
      <c r="AD403" s="1555"/>
      <c r="AE403" s="1358"/>
      <c r="AF403" s="1358"/>
      <c r="AG403" s="1358"/>
      <c r="AH403" s="1364"/>
      <c r="AI403" s="1485"/>
      <c r="AJ403" s="1557"/>
      <c r="AK403" s="1585"/>
      <c r="AL403" s="1561"/>
      <c r="AM403" s="1573"/>
      <c r="AN403" s="1575"/>
      <c r="AO403" s="1407"/>
      <c r="AP403" s="1567"/>
      <c r="AQ403" s="1407"/>
      <c r="AR403" s="1587"/>
      <c r="AS403" s="1569"/>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2196</v>
      </c>
      <c r="Q404" s="1507" t="str">
        <f>IFERROR(VLOOKUP('別紙様式2-2（４・５月分）'!AR305,【参考】数式用!$AT$5:$AV$22,3,FALSE),"")</f>
        <v/>
      </c>
      <c r="R404" s="1391" t="s">
        <v>2207</v>
      </c>
      <c r="S404" s="1399" t="str">
        <f>IFERROR(VLOOKUP(K402,【参考】数式用!$A$5:$AB$27,MATCH(Q404,【参考】数式用!$B$4:$AB$4,0)+1,0),"")</f>
        <v/>
      </c>
      <c r="T404" s="1462" t="s">
        <v>2285</v>
      </c>
      <c r="U404" s="1570"/>
      <c r="V404" s="1466" t="str">
        <f>IFERROR(VLOOKUP(K402,【参考】数式用!$A$5:$AB$27,MATCH(U404,【参考】数式用!$B$4:$AB$4,0)+1,0),"")</f>
        <v/>
      </c>
      <c r="W404" s="1468" t="s">
        <v>19</v>
      </c>
      <c r="X404" s="1538"/>
      <c r="Y404" s="1410" t="s">
        <v>10</v>
      </c>
      <c r="Z404" s="1538"/>
      <c r="AA404" s="1410" t="s">
        <v>45</v>
      </c>
      <c r="AB404" s="1538"/>
      <c r="AC404" s="1410" t="s">
        <v>10</v>
      </c>
      <c r="AD404" s="1538"/>
      <c r="AE404" s="1410" t="s">
        <v>2188</v>
      </c>
      <c r="AF404" s="1410" t="s">
        <v>24</v>
      </c>
      <c r="AG404" s="1410" t="str">
        <f>IF(X404&gt;=1,(AB404*12+AD404)-(X404*12+Z404)+1,"")</f>
        <v/>
      </c>
      <c r="AH404" s="1412" t="s">
        <v>38</v>
      </c>
      <c r="AI404" s="1414" t="str">
        <f t="shared" ref="AI404" si="383">IFERROR(ROUNDDOWN(ROUND(L402*V404,0)*M402,0)*AG404,"")</f>
        <v/>
      </c>
      <c r="AJ404" s="1578" t="str">
        <f>IFERROR(ROUNDDOWN(ROUND((L402*(V404-AX402)),0)*M402,0)*AG404,"")</f>
        <v/>
      </c>
      <c r="AK404" s="1497" t="str">
        <f>IFERROR(ROUNDDOWN(ROUNDDOWN(ROUND(L402*VLOOKUP(K402,【参考】数式用!$A$5:$AB$27,MATCH("新加算Ⅳ",【参考】数式用!$B$4:$AB$4,0)+1,0),0)*M402,0)*AG404*0.5,0),"")</f>
        <v/>
      </c>
      <c r="AL404" s="1580"/>
      <c r="AM404" s="1588" t="str">
        <f>IFERROR(IF('別紙様式2-2（４・５月分）'!Q307="ベア加算","", IF(OR(U404="新加算Ⅰ",U404="新加算Ⅱ",U404="新加算Ⅲ",U404="新加算Ⅳ"),ROUNDDOWN(ROUND(L402*VLOOKUP(K402,【参考】数式用!$A$5:$I$27,MATCH("ベア加算",【参考】数式用!$B$4:$I$4,0)+1,0),0)*M402,0)*AG404,"")),"")</f>
        <v/>
      </c>
      <c r="AN404" s="1544"/>
      <c r="AO404" s="1536"/>
      <c r="AP404" s="1548"/>
      <c r="AQ404" s="1536"/>
      <c r="AR404" s="1550"/>
      <c r="AS404" s="1552"/>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71"/>
      <c r="V405" s="1467"/>
      <c r="W405" s="1469"/>
      <c r="X405" s="1539"/>
      <c r="Y405" s="1411"/>
      <c r="Z405" s="1539"/>
      <c r="AA405" s="1411"/>
      <c r="AB405" s="1539"/>
      <c r="AC405" s="1411"/>
      <c r="AD405" s="1539"/>
      <c r="AE405" s="1411"/>
      <c r="AF405" s="1411"/>
      <c r="AG405" s="1411"/>
      <c r="AH405" s="1413"/>
      <c r="AI405" s="1415"/>
      <c r="AJ405" s="1579"/>
      <c r="AK405" s="1498"/>
      <c r="AL405" s="1581"/>
      <c r="AM405" s="1589"/>
      <c r="AN405" s="1545"/>
      <c r="AO405" s="1537"/>
      <c r="AP405" s="1549"/>
      <c r="AQ405" s="1537"/>
      <c r="AR405" s="1551"/>
      <c r="AS405" s="1553"/>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2275</v>
      </c>
      <c r="U406" s="1562" t="str">
        <f>IF('別紙様式2-3（６月以降分）'!U406="","",'別紙様式2-3（６月以降分）'!U406)</f>
        <v/>
      </c>
      <c r="V406" s="1460" t="str">
        <f>IFERROR(VLOOKUP(K406,【参考】数式用!$A$5:$AB$27,MATCH(U406,【参考】数式用!$B$4:$AB$4,0)+1,0),"")</f>
        <v/>
      </c>
      <c r="W406" s="1353" t="s">
        <v>19</v>
      </c>
      <c r="X406" s="1554">
        <f>'別紙様式2-3（６月以降分）'!X406</f>
        <v>6</v>
      </c>
      <c r="Y406" s="1357" t="s">
        <v>10</v>
      </c>
      <c r="Z406" s="1554">
        <f>'別紙様式2-3（６月以降分）'!Z406</f>
        <v>6</v>
      </c>
      <c r="AA406" s="1357" t="s">
        <v>45</v>
      </c>
      <c r="AB406" s="1554">
        <f>'別紙様式2-3（６月以降分）'!AB406</f>
        <v>7</v>
      </c>
      <c r="AC406" s="1357" t="s">
        <v>10</v>
      </c>
      <c r="AD406" s="1554">
        <f>'別紙様式2-3（６月以降分）'!AD406</f>
        <v>3</v>
      </c>
      <c r="AE406" s="1357" t="s">
        <v>2188</v>
      </c>
      <c r="AF406" s="1357" t="s">
        <v>24</v>
      </c>
      <c r="AG406" s="1357">
        <f>IF(X406&gt;=1,(AB406*12+AD406)-(X406*12+Z406)+1,"")</f>
        <v>10</v>
      </c>
      <c r="AH406" s="1363" t="s">
        <v>38</v>
      </c>
      <c r="AI406" s="1484" t="str">
        <f>'別紙様式2-3（６月以降分）'!AI406</f>
        <v/>
      </c>
      <c r="AJ406" s="1556" t="str">
        <f>'別紙様式2-3（６月以降分）'!AJ406</f>
        <v/>
      </c>
      <c r="AK406" s="1584">
        <f>'別紙様式2-3（６月以降分）'!AK406</f>
        <v>0</v>
      </c>
      <c r="AL406" s="1560" t="str">
        <f>IF('別紙様式2-3（６月以降分）'!AL406="","",'別紙様式2-3（６月以降分）'!AL406)</f>
        <v/>
      </c>
      <c r="AM406" s="1572">
        <f>'別紙様式2-3（６月以降分）'!AM406</f>
        <v>0</v>
      </c>
      <c r="AN406" s="1574"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3"/>
      <c r="V407" s="1461"/>
      <c r="W407" s="1354"/>
      <c r="X407" s="1555"/>
      <c r="Y407" s="1358"/>
      <c r="Z407" s="1555"/>
      <c r="AA407" s="1358"/>
      <c r="AB407" s="1555"/>
      <c r="AC407" s="1358"/>
      <c r="AD407" s="1555"/>
      <c r="AE407" s="1358"/>
      <c r="AF407" s="1358"/>
      <c r="AG407" s="1358"/>
      <c r="AH407" s="1364"/>
      <c r="AI407" s="1485"/>
      <c r="AJ407" s="1557"/>
      <c r="AK407" s="1585"/>
      <c r="AL407" s="1561"/>
      <c r="AM407" s="1573"/>
      <c r="AN407" s="1575"/>
      <c r="AO407" s="1407"/>
      <c r="AP407" s="1567"/>
      <c r="AQ407" s="1407"/>
      <c r="AR407" s="1587"/>
      <c r="AS407" s="1569"/>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2196</v>
      </c>
      <c r="Q408" s="1507" t="str">
        <f>IFERROR(VLOOKUP('別紙様式2-2（４・５月分）'!AR308,【参考】数式用!$AT$5:$AV$22,3,FALSE),"")</f>
        <v/>
      </c>
      <c r="R408" s="1391" t="s">
        <v>2207</v>
      </c>
      <c r="S408" s="1397" t="str">
        <f>IFERROR(VLOOKUP(K406,【参考】数式用!$A$5:$AB$27,MATCH(Q408,【参考】数式用!$B$4:$AB$4,0)+1,0),"")</f>
        <v/>
      </c>
      <c r="T408" s="1462" t="s">
        <v>2285</v>
      </c>
      <c r="U408" s="1570"/>
      <c r="V408" s="1466" t="str">
        <f>IFERROR(VLOOKUP(K406,【参考】数式用!$A$5:$AB$27,MATCH(U408,【参考】数式用!$B$4:$AB$4,0)+1,0),"")</f>
        <v/>
      </c>
      <c r="W408" s="1468" t="s">
        <v>19</v>
      </c>
      <c r="X408" s="1538"/>
      <c r="Y408" s="1410" t="s">
        <v>10</v>
      </c>
      <c r="Z408" s="1538"/>
      <c r="AA408" s="1410" t="s">
        <v>45</v>
      </c>
      <c r="AB408" s="1538"/>
      <c r="AC408" s="1410" t="s">
        <v>10</v>
      </c>
      <c r="AD408" s="1538"/>
      <c r="AE408" s="1410" t="s">
        <v>2188</v>
      </c>
      <c r="AF408" s="1410" t="s">
        <v>24</v>
      </c>
      <c r="AG408" s="1410" t="str">
        <f>IF(X408&gt;=1,(AB408*12+AD408)-(X408*12+Z408)+1,"")</f>
        <v/>
      </c>
      <c r="AH408" s="1412" t="s">
        <v>38</v>
      </c>
      <c r="AI408" s="1414" t="str">
        <f t="shared" ref="AI408" si="387">IFERROR(ROUNDDOWN(ROUND(L406*V408,0)*M406,0)*AG408,"")</f>
        <v/>
      </c>
      <c r="AJ408" s="1578" t="str">
        <f>IFERROR(ROUNDDOWN(ROUND((L406*(V408-AX406)),0)*M406,0)*AG408,"")</f>
        <v/>
      </c>
      <c r="AK408" s="1497" t="str">
        <f>IFERROR(ROUNDDOWN(ROUNDDOWN(ROUND(L406*VLOOKUP(K406,【参考】数式用!$A$5:$AB$27,MATCH("新加算Ⅳ",【参考】数式用!$B$4:$AB$4,0)+1,0),0)*M406,0)*AG408*0.5,0),"")</f>
        <v/>
      </c>
      <c r="AL408" s="1580"/>
      <c r="AM408" s="1588" t="str">
        <f>IFERROR(IF('別紙様式2-2（４・５月分）'!Q310="ベア加算","", IF(OR(U408="新加算Ⅰ",U408="新加算Ⅱ",U408="新加算Ⅲ",U408="新加算Ⅳ"),ROUNDDOWN(ROUND(L406*VLOOKUP(K406,【参考】数式用!$A$5:$I$27,MATCH("ベア加算",【参考】数式用!$B$4:$I$4,0)+1,0),0)*M406,0)*AG408,"")),"")</f>
        <v/>
      </c>
      <c r="AN408" s="1544"/>
      <c r="AO408" s="1536"/>
      <c r="AP408" s="1548"/>
      <c r="AQ408" s="1536"/>
      <c r="AR408" s="1550"/>
      <c r="AS408" s="1552"/>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71"/>
      <c r="V409" s="1467"/>
      <c r="W409" s="1469"/>
      <c r="X409" s="1539"/>
      <c r="Y409" s="1411"/>
      <c r="Z409" s="1539"/>
      <c r="AA409" s="1411"/>
      <c r="AB409" s="1539"/>
      <c r="AC409" s="1411"/>
      <c r="AD409" s="1539"/>
      <c r="AE409" s="1411"/>
      <c r="AF409" s="1411"/>
      <c r="AG409" s="1411"/>
      <c r="AH409" s="1413"/>
      <c r="AI409" s="1415"/>
      <c r="AJ409" s="1579"/>
      <c r="AK409" s="1498"/>
      <c r="AL409" s="1581"/>
      <c r="AM409" s="1589"/>
      <c r="AN409" s="1545"/>
      <c r="AO409" s="1537"/>
      <c r="AP409" s="1549"/>
      <c r="AQ409" s="1537"/>
      <c r="AR409" s="1551"/>
      <c r="AS409" s="1553"/>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2275</v>
      </c>
      <c r="U410" s="1562" t="str">
        <f>IF('別紙様式2-3（６月以降分）'!U410="","",'別紙様式2-3（６月以降分）'!U410)</f>
        <v/>
      </c>
      <c r="V410" s="1460" t="str">
        <f>IFERROR(VLOOKUP(K410,【参考】数式用!$A$5:$AB$27,MATCH(U410,【参考】数式用!$B$4:$AB$4,0)+1,0),"")</f>
        <v/>
      </c>
      <c r="W410" s="1353" t="s">
        <v>19</v>
      </c>
      <c r="X410" s="1554">
        <f>'別紙様式2-3（６月以降分）'!X410</f>
        <v>6</v>
      </c>
      <c r="Y410" s="1357" t="s">
        <v>10</v>
      </c>
      <c r="Z410" s="1554">
        <f>'別紙様式2-3（６月以降分）'!Z410</f>
        <v>6</v>
      </c>
      <c r="AA410" s="1357" t="s">
        <v>45</v>
      </c>
      <c r="AB410" s="1554">
        <f>'別紙様式2-3（６月以降分）'!AB410</f>
        <v>7</v>
      </c>
      <c r="AC410" s="1357" t="s">
        <v>10</v>
      </c>
      <c r="AD410" s="1554">
        <f>'別紙様式2-3（６月以降分）'!AD410</f>
        <v>3</v>
      </c>
      <c r="AE410" s="1357" t="s">
        <v>2188</v>
      </c>
      <c r="AF410" s="1357" t="s">
        <v>24</v>
      </c>
      <c r="AG410" s="1357">
        <f>IF(X410&gt;=1,(AB410*12+AD410)-(X410*12+Z410)+1,"")</f>
        <v>10</v>
      </c>
      <c r="AH410" s="1363" t="s">
        <v>38</v>
      </c>
      <c r="AI410" s="1484" t="str">
        <f>'別紙様式2-3（６月以降分）'!AI410</f>
        <v/>
      </c>
      <c r="AJ410" s="1556" t="str">
        <f>'別紙様式2-3（６月以降分）'!AJ410</f>
        <v/>
      </c>
      <c r="AK410" s="1584">
        <f>'別紙様式2-3（６月以降分）'!AK410</f>
        <v>0</v>
      </c>
      <c r="AL410" s="1560" t="str">
        <f>IF('別紙様式2-3（６月以降分）'!AL410="","",'別紙様式2-3（６月以降分）'!AL410)</f>
        <v/>
      </c>
      <c r="AM410" s="1572">
        <f>'別紙様式2-3（６月以降分）'!AM410</f>
        <v>0</v>
      </c>
      <c r="AN410" s="1574"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3"/>
      <c r="V411" s="1461"/>
      <c r="W411" s="1354"/>
      <c r="X411" s="1555"/>
      <c r="Y411" s="1358"/>
      <c r="Z411" s="1555"/>
      <c r="AA411" s="1358"/>
      <c r="AB411" s="1555"/>
      <c r="AC411" s="1358"/>
      <c r="AD411" s="1555"/>
      <c r="AE411" s="1358"/>
      <c r="AF411" s="1358"/>
      <c r="AG411" s="1358"/>
      <c r="AH411" s="1364"/>
      <c r="AI411" s="1485"/>
      <c r="AJ411" s="1557"/>
      <c r="AK411" s="1585"/>
      <c r="AL411" s="1561"/>
      <c r="AM411" s="1573"/>
      <c r="AN411" s="1575"/>
      <c r="AO411" s="1407"/>
      <c r="AP411" s="1567"/>
      <c r="AQ411" s="1407"/>
      <c r="AR411" s="1587"/>
      <c r="AS411" s="1569"/>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2196</v>
      </c>
      <c r="Q412" s="1507" t="str">
        <f>IFERROR(VLOOKUP('別紙様式2-2（４・５月分）'!AR311,【参考】数式用!$AT$5:$AV$22,3,FALSE),"")</f>
        <v/>
      </c>
      <c r="R412" s="1391" t="s">
        <v>2207</v>
      </c>
      <c r="S412" s="1399" t="str">
        <f>IFERROR(VLOOKUP(K410,【参考】数式用!$A$5:$AB$27,MATCH(Q412,【参考】数式用!$B$4:$AB$4,0)+1,0),"")</f>
        <v/>
      </c>
      <c r="T412" s="1462" t="s">
        <v>2285</v>
      </c>
      <c r="U412" s="1570"/>
      <c r="V412" s="1466" t="str">
        <f>IFERROR(VLOOKUP(K410,【参考】数式用!$A$5:$AB$27,MATCH(U412,【参考】数式用!$B$4:$AB$4,0)+1,0),"")</f>
        <v/>
      </c>
      <c r="W412" s="1468" t="s">
        <v>19</v>
      </c>
      <c r="X412" s="1538"/>
      <c r="Y412" s="1410" t="s">
        <v>10</v>
      </c>
      <c r="Z412" s="1538"/>
      <c r="AA412" s="1410" t="s">
        <v>45</v>
      </c>
      <c r="AB412" s="1538"/>
      <c r="AC412" s="1410" t="s">
        <v>10</v>
      </c>
      <c r="AD412" s="1538"/>
      <c r="AE412" s="1410" t="s">
        <v>2188</v>
      </c>
      <c r="AF412" s="1410" t="s">
        <v>24</v>
      </c>
      <c r="AG412" s="1410" t="str">
        <f>IF(X412&gt;=1,(AB412*12+AD412)-(X412*12+Z412)+1,"")</f>
        <v/>
      </c>
      <c r="AH412" s="1412" t="s">
        <v>38</v>
      </c>
      <c r="AI412" s="1414" t="str">
        <f t="shared" ref="AI412" si="391">IFERROR(ROUNDDOWN(ROUND(L410*V412,0)*M410,0)*AG412,"")</f>
        <v/>
      </c>
      <c r="AJ412" s="1578" t="str">
        <f>IFERROR(ROUNDDOWN(ROUND((L410*(V412-AX410)),0)*M410,0)*AG412,"")</f>
        <v/>
      </c>
      <c r="AK412" s="1497" t="str">
        <f>IFERROR(ROUNDDOWN(ROUNDDOWN(ROUND(L410*VLOOKUP(K410,【参考】数式用!$A$5:$AB$27,MATCH("新加算Ⅳ",【参考】数式用!$B$4:$AB$4,0)+1,0),0)*M410,0)*AG412*0.5,0),"")</f>
        <v/>
      </c>
      <c r="AL412" s="1580"/>
      <c r="AM412" s="1588" t="str">
        <f>IFERROR(IF('別紙様式2-2（４・５月分）'!Q313="ベア加算","", IF(OR(U412="新加算Ⅰ",U412="新加算Ⅱ",U412="新加算Ⅲ",U412="新加算Ⅳ"),ROUNDDOWN(ROUND(L410*VLOOKUP(K410,【参考】数式用!$A$5:$I$27,MATCH("ベア加算",【参考】数式用!$B$4:$I$4,0)+1,0),0)*M410,0)*AG412,"")),"")</f>
        <v/>
      </c>
      <c r="AN412" s="1544"/>
      <c r="AO412" s="1536"/>
      <c r="AP412" s="1548"/>
      <c r="AQ412" s="1536"/>
      <c r="AR412" s="1550"/>
      <c r="AS412" s="1552"/>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71"/>
      <c r="V413" s="1467"/>
      <c r="W413" s="1469"/>
      <c r="X413" s="1539"/>
      <c r="Y413" s="1411"/>
      <c r="Z413" s="1539"/>
      <c r="AA413" s="1411"/>
      <c r="AB413" s="1539"/>
      <c r="AC413" s="1411"/>
      <c r="AD413" s="1539"/>
      <c r="AE413" s="1411"/>
      <c r="AF413" s="1411"/>
      <c r="AG413" s="1411"/>
      <c r="AH413" s="1413"/>
      <c r="AI413" s="1415"/>
      <c r="AJ413" s="1579"/>
      <c r="AK413" s="1498"/>
      <c r="AL413" s="1581"/>
      <c r="AM413" s="1589"/>
      <c r="AN413" s="1545"/>
      <c r="AO413" s="1537"/>
      <c r="AP413" s="1549"/>
      <c r="AQ413" s="1537"/>
      <c r="AR413" s="1551"/>
      <c r="AS413" s="1553"/>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LTWyjSRvEK4CiH6V/YYgO39TbVQPQxQ1DSBtzH1Xk7gjwMMy8hJ8fgth0CFn9iT6ebSPSVqrwzXERfJ6BkIpJA==" saltValue="vItJhpEsd6bpAMF5tH83o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Q92:AQ93"/>
    <mergeCell ref="AR92:AR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O20:AO21"/>
    <mergeCell ref="AD20:AD21"/>
    <mergeCell ref="P18:R19"/>
    <mergeCell ref="S18:S19"/>
    <mergeCell ref="T18:T1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2:AV53"/>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election activeCell="W12" sqref="W12:AH13"/>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29.453125" style="1" bestFit="1" customWidth="1"/>
    <col min="34" max="34" width="50.6328125" style="1" customWidth="1"/>
    <col min="35" max="35" width="9.08984375" style="1" customWidth="1"/>
    <col min="36" max="36" width="38.36328125" style="1" customWidth="1"/>
    <col min="37" max="37" width="36.6328125" style="1" customWidth="1"/>
    <col min="38" max="38" width="9" style="1"/>
    <col min="39" max="39" width="13.6328125" style="1" customWidth="1"/>
    <col min="40" max="43" width="9" style="1"/>
    <col min="44" max="44" width="12.08984375" style="1" customWidth="1"/>
    <col min="45" max="45" width="9" style="1"/>
    <col min="46" max="46" width="30.6328125" style="1" customWidth="1"/>
    <col min="47" max="47" width="12" style="1" customWidth="1"/>
    <col min="48" max="48" width="11.453125" style="126" customWidth="1"/>
    <col min="49" max="49" width="9" style="1" customWidth="1"/>
    <col min="50" max="16384" width="9" style="1"/>
  </cols>
  <sheetData>
    <row r="1" spans="1:48" ht="13.5" thickBot="1">
      <c r="A1" s="2" t="s">
        <v>2125</v>
      </c>
      <c r="B1" s="2"/>
      <c r="C1" s="2"/>
      <c r="D1" s="2"/>
      <c r="E1" s="2"/>
      <c r="AD1" s="27"/>
      <c r="AE1" s="2" t="s">
        <v>2357</v>
      </c>
      <c r="AJ1" s="1" t="s">
        <v>246</v>
      </c>
      <c r="AM1" s="1" t="s">
        <v>247</v>
      </c>
      <c r="AO1" s="2" t="s">
        <v>256</v>
      </c>
      <c r="AQ1" s="75" t="s">
        <v>2379</v>
      </c>
    </row>
    <row r="2" spans="1:48">
      <c r="A2" s="1619" t="s">
        <v>18</v>
      </c>
      <c r="B2" s="1613" t="s">
        <v>43</v>
      </c>
      <c r="C2" s="1614"/>
      <c r="D2" s="1614"/>
      <c r="E2" s="1615"/>
      <c r="F2" s="1626" t="s">
        <v>106</v>
      </c>
      <c r="G2" s="1627"/>
      <c r="H2" s="1628"/>
      <c r="I2" s="1619" t="s">
        <v>205</v>
      </c>
      <c r="J2" s="1629"/>
      <c r="K2" s="1622" t="s">
        <v>206</v>
      </c>
      <c r="L2" s="1606"/>
      <c r="M2" s="1606"/>
      <c r="N2" s="1606"/>
      <c r="O2" s="1606"/>
      <c r="P2" s="1606"/>
      <c r="Q2" s="1606"/>
      <c r="R2" s="1606"/>
      <c r="S2" s="1606"/>
      <c r="T2" s="1606"/>
      <c r="U2" s="1606"/>
      <c r="V2" s="1606"/>
      <c r="W2" s="1606"/>
      <c r="X2" s="1606"/>
      <c r="Y2" s="1606"/>
      <c r="Z2" s="1606"/>
      <c r="AA2" s="1606"/>
      <c r="AB2" s="1610"/>
      <c r="AC2" s="1644" t="s">
        <v>2187</v>
      </c>
      <c r="AD2" s="27"/>
      <c r="AE2" s="1637" t="s">
        <v>18</v>
      </c>
      <c r="AF2" s="1637" t="s">
        <v>2356</v>
      </c>
      <c r="AG2" s="1638"/>
      <c r="AH2" s="1639"/>
      <c r="AJ2" s="57" t="s">
        <v>145</v>
      </c>
      <c r="AK2" s="82" t="s">
        <v>145</v>
      </c>
      <c r="AM2" s="87" t="s">
        <v>187</v>
      </c>
      <c r="AO2" s="119" t="s">
        <v>2113</v>
      </c>
      <c r="AQ2" s="1603" t="s">
        <v>43</v>
      </c>
      <c r="AR2" s="1606" t="s">
        <v>106</v>
      </c>
      <c r="AS2" s="1606" t="s">
        <v>205</v>
      </c>
      <c r="AT2" s="1631" t="s">
        <v>229</v>
      </c>
      <c r="AU2" s="1634" t="s">
        <v>228</v>
      </c>
      <c r="AV2" s="1610" t="s">
        <v>2205</v>
      </c>
    </row>
    <row r="3" spans="1:48" ht="26.25" customHeight="1" thickBot="1">
      <c r="A3" s="1620"/>
      <c r="B3" s="1616" t="s">
        <v>274</v>
      </c>
      <c r="C3" s="1617"/>
      <c r="D3" s="1617"/>
      <c r="E3" s="1618"/>
      <c r="F3" s="1616" t="s">
        <v>42</v>
      </c>
      <c r="G3" s="1617"/>
      <c r="H3" s="1618"/>
      <c r="I3" s="1621"/>
      <c r="J3" s="1630"/>
      <c r="K3" s="1623" t="s">
        <v>207</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232</v>
      </c>
      <c r="AK3" s="80" t="s">
        <v>232</v>
      </c>
      <c r="AM3" s="88"/>
      <c r="AO3" s="98" t="s">
        <v>2114</v>
      </c>
      <c r="AQ3" s="1604"/>
      <c r="AR3" s="1607"/>
      <c r="AS3" s="1607"/>
      <c r="AT3" s="1632"/>
      <c r="AU3" s="1635"/>
      <c r="AV3" s="1611"/>
    </row>
    <row r="4" spans="1:48" ht="22.5" thickBot="1">
      <c r="A4" s="1621"/>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6"/>
      <c r="AD4" s="27"/>
      <c r="AE4" s="1643"/>
      <c r="AF4" s="1640"/>
      <c r="AG4" s="1641"/>
      <c r="AH4" s="1642"/>
      <c r="AJ4" s="54" t="s">
        <v>233</v>
      </c>
      <c r="AK4" s="80" t="s">
        <v>233</v>
      </c>
      <c r="AO4" s="98" t="s">
        <v>2115</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2297</v>
      </c>
      <c r="AG5" s="139" t="s">
        <v>2298</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9.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2300</v>
      </c>
      <c r="AG6" s="141" t="s">
        <v>2302</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3.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2300</v>
      </c>
      <c r="AG7" s="141" t="s">
        <v>2302</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2300</v>
      </c>
      <c r="AG8" s="141" t="s">
        <v>2302</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2300</v>
      </c>
      <c r="AG9" s="141" t="s">
        <v>2302</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2300</v>
      </c>
      <c r="AG10" s="141" t="s">
        <v>2302</v>
      </c>
      <c r="AH10" s="155" t="s">
        <v>2303</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2300</v>
      </c>
      <c r="AG11" s="141" t="s">
        <v>2302</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2300</v>
      </c>
      <c r="AG12" s="141" t="s">
        <v>2302</v>
      </c>
      <c r="AH12" s="155" t="s">
        <v>2304</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2300</v>
      </c>
      <c r="AG13" s="141" t="s">
        <v>2302</v>
      </c>
      <c r="AH13" s="155" t="s">
        <v>2304</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2300</v>
      </c>
      <c r="AG14" s="141" t="s">
        <v>2302</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2300</v>
      </c>
      <c r="AG15" s="141" t="s">
        <v>2302</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2300</v>
      </c>
      <c r="AG16" s="141" t="s">
        <v>2302</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2300</v>
      </c>
      <c r="AG17" s="141" t="s">
        <v>2302</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2300</v>
      </c>
      <c r="AG18" s="141" t="s">
        <v>2302</v>
      </c>
      <c r="AH18" s="155" t="s">
        <v>2305</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2300</v>
      </c>
      <c r="AG19" s="141" t="s">
        <v>2302</v>
      </c>
      <c r="AH19" s="155" t="s">
        <v>2305</v>
      </c>
      <c r="AJ19" s="54" t="s">
        <v>154</v>
      </c>
      <c r="AK19" s="80" t="s">
        <v>241</v>
      </c>
      <c r="AQ19" s="52" t="s">
        <v>200</v>
      </c>
      <c r="AR19" s="53" t="s">
        <v>226</v>
      </c>
      <c r="AS19" s="73" t="s">
        <v>227</v>
      </c>
      <c r="AT19" s="77" t="str">
        <f t="shared" si="0"/>
        <v>処遇加算Ⅱ特定加算なしベア加算なし</v>
      </c>
      <c r="AU19" s="127" t="s">
        <v>222</v>
      </c>
      <c r="AV19" s="132" t="s">
        <v>2206</v>
      </c>
    </row>
    <row r="20" spans="1:48" ht="24">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2300</v>
      </c>
      <c r="AG20" s="141" t="s">
        <v>2302</v>
      </c>
      <c r="AH20" s="155" t="s">
        <v>2294</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2300</v>
      </c>
      <c r="AG21" s="141" t="s">
        <v>2302</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24.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2300</v>
      </c>
      <c r="AG22" s="141" t="s">
        <v>2302</v>
      </c>
      <c r="AH22" s="155" t="s">
        <v>2295</v>
      </c>
      <c r="AJ22" s="56" t="s">
        <v>162</v>
      </c>
      <c r="AK22" s="81" t="s">
        <v>243</v>
      </c>
      <c r="AQ22" s="68" t="s">
        <v>201</v>
      </c>
      <c r="AR22" s="69" t="s">
        <v>226</v>
      </c>
      <c r="AS22" s="74" t="s">
        <v>227</v>
      </c>
      <c r="AT22" s="78" t="str">
        <f t="shared" si="0"/>
        <v>処遇加算Ⅲ特定加算なしベア加算なし</v>
      </c>
      <c r="AU22" s="128" t="s">
        <v>225</v>
      </c>
      <c r="AV22" s="133" t="s">
        <v>2206</v>
      </c>
    </row>
    <row r="23" spans="1:48" ht="24">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2300</v>
      </c>
      <c r="AG23" s="141" t="s">
        <v>2302</v>
      </c>
      <c r="AH23" s="155" t="s">
        <v>2295</v>
      </c>
      <c r="AJ23" s="57" t="s">
        <v>163</v>
      </c>
      <c r="AK23" s="82" t="s">
        <v>244</v>
      </c>
    </row>
    <row r="24" spans="1:48" ht="13.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2300</v>
      </c>
      <c r="AG24" s="141" t="s">
        <v>2302</v>
      </c>
      <c r="AH24" s="154"/>
      <c r="AJ24" s="56" t="s">
        <v>164</v>
      </c>
      <c r="AK24" s="81" t="s">
        <v>245</v>
      </c>
    </row>
    <row r="25" spans="1:48" ht="24.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2300</v>
      </c>
      <c r="AG25" s="143" t="s">
        <v>2302</v>
      </c>
      <c r="AH25" s="157" t="s">
        <v>2294</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2372</v>
      </c>
      <c r="AG26" s="145" t="s">
        <v>2306</v>
      </c>
      <c r="AH26" s="152"/>
    </row>
    <row r="27" spans="1:48" ht="13.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2299</v>
      </c>
      <c r="AG27" s="160" t="s">
        <v>2301</v>
      </c>
      <c r="AH27" s="161" t="s">
        <v>2307</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2126</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2296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
  <cols>
    <col min="1" max="1" width="15.08984375" bestFit="1" customWidth="1"/>
    <col min="3" max="3" width="16.6328125" bestFit="1" customWidth="1"/>
    <col min="4" max="4" width="16" bestFit="1" customWidth="1"/>
    <col min="6" max="6" width="19.453125" bestFit="1" customWidth="1"/>
    <col min="10" max="10" width="45.90625" customWidth="1"/>
    <col min="11" max="11" width="12.08984375" bestFit="1" customWidth="1"/>
  </cols>
  <sheetData>
    <row r="1" spans="1:11" ht="13.5" thickBot="1">
      <c r="A1" s="2" t="s">
        <v>2112</v>
      </c>
      <c r="C1" t="s">
        <v>2111</v>
      </c>
      <c r="F1" t="s">
        <v>2110</v>
      </c>
    </row>
    <row r="2" spans="1:11" ht="13.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3.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3.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3.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3.5" thickBot="1">
      <c r="C1749" s="92" t="s">
        <v>283</v>
      </c>
      <c r="D1749" s="91" t="s">
        <v>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2024-03-06T07:32:28Z</dcterms:modified>
</cp:coreProperties>
</file>